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OI 2021\2do. TRIMESTRE POI\"/>
    </mc:Choice>
  </mc:AlternateContent>
  <bookViews>
    <workbookView xWindow="0" yWindow="0" windowWidth="24000" windowHeight="9600" activeTab="1"/>
  </bookViews>
  <sheets>
    <sheet name="INCL. y EXCL. 2DO TRIM.2021" sheetId="1" r:id="rId1"/>
    <sheet name="Desagregado por Valor y Red" sheetId="6" r:id="rId2"/>
    <sheet name="SUSTENTO" sheetId="12" r:id="rId3"/>
  </sheets>
  <definedNames>
    <definedName name="_xlnm._FilterDatabase" localSheetId="0" hidden="1">'INCL. y EXCL. 2DO TRIM.2021'!$B$3:$M$186</definedName>
    <definedName name="_xlnm.Print_Titles" localSheetId="0">'INCL. y EXCL. 2DO TRIM.2021'!$1:$3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" l="1"/>
  <c r="D7" i="6"/>
  <c r="J186" i="1"/>
  <c r="I186" i="1"/>
  <c r="H186" i="1"/>
  <c r="G186" i="1"/>
  <c r="F186" i="1"/>
  <c r="E186" i="1"/>
  <c r="G179" i="1"/>
  <c r="G178" i="1"/>
  <c r="H177" i="1"/>
  <c r="G177" i="1"/>
  <c r="G176" i="1"/>
  <c r="G170" i="1"/>
  <c r="G167" i="1"/>
  <c r="G164" i="1"/>
  <c r="G157" i="1"/>
  <c r="G151" i="1"/>
  <c r="G150" i="1"/>
  <c r="G149" i="1"/>
  <c r="G148" i="1"/>
  <c r="G147" i="1"/>
  <c r="G137" i="1"/>
  <c r="G138" i="1"/>
  <c r="G139" i="1"/>
  <c r="G135" i="1"/>
  <c r="G136" i="1"/>
  <c r="G132" i="1"/>
  <c r="G131" i="1"/>
  <c r="G129" i="1"/>
  <c r="G128" i="1"/>
  <c r="G127" i="1"/>
  <c r="G126" i="1"/>
  <c r="G125" i="1"/>
  <c r="G118" i="1"/>
  <c r="G117" i="1"/>
  <c r="G116" i="1"/>
  <c r="G113" i="1"/>
  <c r="G112" i="1"/>
  <c r="G109" i="1"/>
  <c r="G103" i="1"/>
  <c r="H102" i="1"/>
  <c r="G102" i="1"/>
  <c r="G98" i="1"/>
  <c r="G97" i="1"/>
  <c r="G95" i="1"/>
  <c r="G93" i="1"/>
  <c r="G90" i="1"/>
  <c r="G84" i="1"/>
  <c r="G81" i="1"/>
  <c r="G74" i="1"/>
  <c r="G75" i="1"/>
  <c r="H70" i="1"/>
  <c r="H61" i="1"/>
  <c r="G54" i="1"/>
  <c r="G59" i="1"/>
  <c r="H58" i="1"/>
  <c r="G55" i="1"/>
  <c r="G53" i="1"/>
  <c r="G51" i="1"/>
  <c r="G50" i="1"/>
  <c r="G49" i="1"/>
  <c r="G48" i="1"/>
  <c r="G44" i="1" l="1"/>
  <c r="G36" i="1"/>
  <c r="G39" i="1"/>
  <c r="G37" i="1"/>
  <c r="G35" i="1"/>
  <c r="G34" i="1"/>
  <c r="G29" i="1"/>
  <c r="G23" i="1" l="1"/>
  <c r="G22" i="1"/>
  <c r="G19" i="1"/>
  <c r="G18" i="1"/>
  <c r="G17" i="1"/>
  <c r="G15" i="1"/>
  <c r="G14" i="1"/>
  <c r="G13" i="1"/>
  <c r="G6" i="1"/>
  <c r="F45" i="6" l="1"/>
  <c r="D45" i="6"/>
  <c r="E45" i="6"/>
  <c r="C45" i="6"/>
  <c r="I197" i="1" l="1"/>
</calcChain>
</file>

<file path=xl/sharedStrings.xml><?xml version="1.0" encoding="utf-8"?>
<sst xmlns="http://schemas.openxmlformats.org/spreadsheetml/2006/main" count="788" uniqueCount="379">
  <si>
    <t>N° Resolución</t>
  </si>
  <si>
    <t>DEPENDENCIA SOLICITANTE</t>
  </si>
  <si>
    <t>Número total de procesos incluidos</t>
  </si>
  <si>
    <t xml:space="preserve"> Número total de procesos excluidos</t>
  </si>
  <si>
    <t>Número de rectificaciones</t>
  </si>
  <si>
    <t>Total Incluido
por  Versión
Soles
S/.</t>
  </si>
  <si>
    <t>Versión</t>
  </si>
  <si>
    <t>N°</t>
  </si>
  <si>
    <t>Total Excluido
por Versión
en Soles
S/.</t>
  </si>
  <si>
    <t>Fecha
de
Resolución</t>
  </si>
  <si>
    <t>Fecha de Publicación
en SEACE</t>
  </si>
  <si>
    <t>Red Asistencial Lambayeque</t>
  </si>
  <si>
    <t>Gerencia Central de Logística</t>
  </si>
  <si>
    <t>Red Asistencial Piura</t>
  </si>
  <si>
    <t>TOTAL &gt;&gt;&gt;</t>
  </si>
  <si>
    <t>Red Asistencial Arequipa</t>
  </si>
  <si>
    <t>Red Asistencial Cajamarca</t>
  </si>
  <si>
    <t>Red Asistencial Loreto</t>
  </si>
  <si>
    <t>Red Asistencial Moquegua</t>
  </si>
  <si>
    <t>Red Asistencial Ucayali</t>
  </si>
  <si>
    <t>Red Prestacional Almenara</t>
  </si>
  <si>
    <t>Centro Nacional de Salud Renal</t>
  </si>
  <si>
    <t>Central de Abastecimiento de Bienes Estratégicos</t>
  </si>
  <si>
    <t>Red Asistencial Tacna</t>
  </si>
  <si>
    <t>Red Asistencial Tumbes</t>
  </si>
  <si>
    <t>Red Asistencial Amazonas</t>
  </si>
  <si>
    <t>Red Asistencial Ica</t>
  </si>
  <si>
    <t>Red Asistencial Puno</t>
  </si>
  <si>
    <t>Red Asistencial Ancash</t>
  </si>
  <si>
    <t>Red Asistencial Pasco</t>
  </si>
  <si>
    <t>Instituto Nacional Cardiovascular</t>
  </si>
  <si>
    <t>Red Prestacional Rebagliati</t>
  </si>
  <si>
    <t>Red Asistencial Cusco</t>
  </si>
  <si>
    <t>Red Asistencial Juliaca</t>
  </si>
  <si>
    <t>Red Asistencial Madre de Dios</t>
  </si>
  <si>
    <t>Red Asistencial Huaraz</t>
  </si>
  <si>
    <t>Etiquetas de fila</t>
  </si>
  <si>
    <t>Suma de Número total de procesos incluidos</t>
  </si>
  <si>
    <t>(en blanco)</t>
  </si>
  <si>
    <t>Total general</t>
  </si>
  <si>
    <t>Suma de  Número total de procesos excluidos</t>
  </si>
  <si>
    <t>Redes Asistenciales</t>
  </si>
  <si>
    <t>N° Procesos Incluidos</t>
  </si>
  <si>
    <t>N° Procesos Excluidos</t>
  </si>
  <si>
    <t>Total Incluido
por Red
Soles
S/.</t>
  </si>
  <si>
    <t>Total Excluido
por Red
Soles
S/.</t>
  </si>
  <si>
    <t>Suma de Total Incluido
por Red
Soles
S/.</t>
  </si>
  <si>
    <t>Suma de Total Excluido
por Red
Soles
S/.</t>
  </si>
  <si>
    <t>Descripción</t>
  </si>
  <si>
    <t>Valor Procesos Incluidos
S/.</t>
  </si>
  <si>
    <t>Valor Procesos Excluidos
S/.</t>
  </si>
  <si>
    <t>Red Asistencial Huánuco</t>
  </si>
  <si>
    <t>30.03.2021</t>
  </si>
  <si>
    <t>31.03.2021</t>
  </si>
  <si>
    <t>Red Asistencial Huancavelica</t>
  </si>
  <si>
    <t>Red Asistencial La Libertad</t>
  </si>
  <si>
    <t>Red Asistencial Junín</t>
  </si>
  <si>
    <t>Red Prestacional Sabogal</t>
  </si>
  <si>
    <t>Red Asistencial Ayacucho</t>
  </si>
  <si>
    <t>Red Asistencial Tarapoto</t>
  </si>
  <si>
    <t>155-GCL-ESSALUD-2021</t>
  </si>
  <si>
    <t>64va. Versión</t>
  </si>
  <si>
    <t>06.04.2021</t>
  </si>
  <si>
    <t>65va. Versión</t>
  </si>
  <si>
    <t>07.04.2021</t>
  </si>
  <si>
    <t>164-CEABE-ESSALUD-2021</t>
  </si>
  <si>
    <t>66va. Versión</t>
  </si>
  <si>
    <t>67va. Versión</t>
  </si>
  <si>
    <t>09.04.2021</t>
  </si>
  <si>
    <t>190-GCL-ESSALUD-2021</t>
  </si>
  <si>
    <t>68va. Versión</t>
  </si>
  <si>
    <t>14.04.2021</t>
  </si>
  <si>
    <t>176-CEABE-ESSALUD-2021</t>
  </si>
  <si>
    <t>69va. Versión</t>
  </si>
  <si>
    <t>16.04.2021</t>
  </si>
  <si>
    <t>222-GRPR-ESSALUD-2021</t>
  </si>
  <si>
    <t>70va. Versión</t>
  </si>
  <si>
    <t>71va. Versión</t>
  </si>
  <si>
    <t>20.04.2021</t>
  </si>
  <si>
    <t>72va. Versión</t>
  </si>
  <si>
    <t>21.04.2021</t>
  </si>
  <si>
    <t>73va. Versión</t>
  </si>
  <si>
    <t>230-GCL-ESSALUD-2021</t>
  </si>
  <si>
    <t>74va. Versión</t>
  </si>
  <si>
    <t>75va. Versión</t>
  </si>
  <si>
    <t>22.04.2021</t>
  </si>
  <si>
    <t>261-GCL-ESSALUD-2021</t>
  </si>
  <si>
    <t>76va. Versión</t>
  </si>
  <si>
    <t>27.04.2021</t>
  </si>
  <si>
    <t>77va. Versión</t>
  </si>
  <si>
    <t>29.04.2021</t>
  </si>
  <si>
    <t>286-GRPR-ESSALUD-2021</t>
  </si>
  <si>
    <t>78va. Versión</t>
  </si>
  <si>
    <t>03.05.2021</t>
  </si>
  <si>
    <t>79va. Versión</t>
  </si>
  <si>
    <t>30.04.2021</t>
  </si>
  <si>
    <t>80va. Versión</t>
  </si>
  <si>
    <t>04.05.2021</t>
  </si>
  <si>
    <t>81va. Versión</t>
  </si>
  <si>
    <t>05.05.2021</t>
  </si>
  <si>
    <t>82va. Versión</t>
  </si>
  <si>
    <t>06.05.2021</t>
  </si>
  <si>
    <t>83va. Versión</t>
  </si>
  <si>
    <t>07.05.2021</t>
  </si>
  <si>
    <t>310-GCL-ESSALUD-2021</t>
  </si>
  <si>
    <t>84va. Versión</t>
  </si>
  <si>
    <t>85va. Versión</t>
  </si>
  <si>
    <t>11.05.2021</t>
  </si>
  <si>
    <t>86va. Versión</t>
  </si>
  <si>
    <t>87va. Versión</t>
  </si>
  <si>
    <t>13.05.2021</t>
  </si>
  <si>
    <t>330-GCL-ESSALUD-2021</t>
  </si>
  <si>
    <t>88va. Versión</t>
  </si>
  <si>
    <t>89va. Versión</t>
  </si>
  <si>
    <t>90va. Versión</t>
  </si>
  <si>
    <t>14.05.2021</t>
  </si>
  <si>
    <t>91va. Versión</t>
  </si>
  <si>
    <t>17.05.2021</t>
  </si>
  <si>
    <t>355-GCL-ESSALUD-2021</t>
  </si>
  <si>
    <t>92va. Versión</t>
  </si>
  <si>
    <t>397-GRPA-ESSALUD-2021</t>
  </si>
  <si>
    <t>93va. Versión</t>
  </si>
  <si>
    <t>94va. Versión</t>
  </si>
  <si>
    <t>364-GCL-ESSALUD-2021</t>
  </si>
  <si>
    <t>95va. Versión</t>
  </si>
  <si>
    <t>19.05.2021</t>
  </si>
  <si>
    <t>252-CEABE-ESSALUD-2021</t>
  </si>
  <si>
    <t>96va. Versión</t>
  </si>
  <si>
    <t>97va. Versión</t>
  </si>
  <si>
    <t>98va. Versión</t>
  </si>
  <si>
    <t>21.05.2021</t>
  </si>
  <si>
    <t>99va. Versión</t>
  </si>
  <si>
    <t>24.05.2021</t>
  </si>
  <si>
    <t xml:space="preserve"> 392-GCL-ESSALUD-2021</t>
  </si>
  <si>
    <t>100va. Versión</t>
  </si>
  <si>
    <t>26.05.2021</t>
  </si>
  <si>
    <t>101va. Versión</t>
  </si>
  <si>
    <t>102va. Versión</t>
  </si>
  <si>
    <t>27.05.2021</t>
  </si>
  <si>
    <t>103va. Versión</t>
  </si>
  <si>
    <t>104va. Versión</t>
  </si>
  <si>
    <t>31.05.2021</t>
  </si>
  <si>
    <t>468-GRPA-ESSALUD-2021</t>
  </si>
  <si>
    <t>105va. Versión</t>
  </si>
  <si>
    <t>01.06.2021</t>
  </si>
  <si>
    <t>287-CEABE-ESSALUD-2021</t>
  </si>
  <si>
    <t>106va. Versión</t>
  </si>
  <si>
    <t>02.06.2021</t>
  </si>
  <si>
    <t>107va. Versión</t>
  </si>
  <si>
    <t>03.06.2021</t>
  </si>
  <si>
    <t>108va. Versión</t>
  </si>
  <si>
    <t>417-GCL-ESSALUD-2021</t>
  </si>
  <si>
    <t>109va. Versión</t>
  </si>
  <si>
    <t>04.06.2021</t>
  </si>
  <si>
    <t>110va. Versión</t>
  </si>
  <si>
    <t>112va. Versión</t>
  </si>
  <si>
    <t>07.06.2021</t>
  </si>
  <si>
    <t>113va. Versión</t>
  </si>
  <si>
    <t>10.06.2021</t>
  </si>
  <si>
    <t>11.06.2021</t>
  </si>
  <si>
    <t>530-GRPA-ESSALUD-2021</t>
  </si>
  <si>
    <t>114va. Versión</t>
  </si>
  <si>
    <t>115va. Versión</t>
  </si>
  <si>
    <t xml:space="preserve"> 439-GCL-ESSALUD-2021</t>
  </si>
  <si>
    <t>116va. Versión</t>
  </si>
  <si>
    <t>14.06.2021</t>
  </si>
  <si>
    <t>117va. Versión</t>
  </si>
  <si>
    <t>15.06.2021</t>
  </si>
  <si>
    <t>118va. Versión</t>
  </si>
  <si>
    <t>16.06.2021</t>
  </si>
  <si>
    <t>119va. Versión</t>
  </si>
  <si>
    <t>17.06.2021</t>
  </si>
  <si>
    <t>120va. Versión</t>
  </si>
  <si>
    <t>449-GCL-ESSALUD-2021</t>
  </si>
  <si>
    <t>121va. Versión</t>
  </si>
  <si>
    <t>18.06.2021</t>
  </si>
  <si>
    <t>122va. Versión</t>
  </si>
  <si>
    <t>111va. Versión</t>
  </si>
  <si>
    <t>75-D-RAMOY-ESSALUD-2021</t>
  </si>
  <si>
    <t>Red Asistencial Moyobamba</t>
  </si>
  <si>
    <t>138-RAPA-ESSALUD-2021</t>
  </si>
  <si>
    <t>87-GRAPUNO-ESSALUD-2021</t>
  </si>
  <si>
    <t>90-GRAPUNO-ESSALUD-2021</t>
  </si>
  <si>
    <t>91-GRAPUNO-ESSALUD-2021</t>
  </si>
  <si>
    <t>151-GRACU-ESSALUD-2021</t>
  </si>
  <si>
    <t>152-GRACU-ESSALUD-2021</t>
  </si>
  <si>
    <t>153-GRACU-ESSALUD-2021</t>
  </si>
  <si>
    <t>196-GRPS-ESSALUD-2021</t>
  </si>
  <si>
    <t>389-GRALA-JAV-ESSALUD-2021</t>
  </si>
  <si>
    <t>394-GRALA-JAV-ESSALUD-2021</t>
  </si>
  <si>
    <t>69-D-RAHVCA-ESSALUD-2021</t>
  </si>
  <si>
    <t>137-DRAMOQ-ESSALUD-2021</t>
  </si>
  <si>
    <t>08.04.2021</t>
  </si>
  <si>
    <t>157-D-RAHU-ESSALUD-2021</t>
  </si>
  <si>
    <t>05.04.2021</t>
  </si>
  <si>
    <t>157-GRACU-ESSALUD-2021</t>
  </si>
  <si>
    <t>164-GRACU-ESSALUD-2021</t>
  </si>
  <si>
    <t>276-GRATA-ESSALUD-2021</t>
  </si>
  <si>
    <t>316-G-RALL-ESSALUD-2021</t>
  </si>
  <si>
    <t>12.04.2021</t>
  </si>
  <si>
    <t>15.04.2021</t>
  </si>
  <si>
    <t>457-GCL-ESSALUD-2021</t>
  </si>
  <si>
    <t>123va. Versión</t>
  </si>
  <si>
    <t>21.06.2021</t>
  </si>
  <si>
    <t>124va. Versión</t>
  </si>
  <si>
    <t>21.03.2021</t>
  </si>
  <si>
    <t>387-GRPR-ESSALUD-2021</t>
  </si>
  <si>
    <t>125va. Versión</t>
  </si>
  <si>
    <t>22.06.2021</t>
  </si>
  <si>
    <t>248-RAPI-ESSALUD-2021</t>
  </si>
  <si>
    <t>126va. Versión</t>
  </si>
  <si>
    <t>23.06.2021</t>
  </si>
  <si>
    <t>127va. Versión</t>
  </si>
  <si>
    <t>24.06.2021</t>
  </si>
  <si>
    <t>128va. Versión</t>
  </si>
  <si>
    <t>25.06.2021</t>
  </si>
  <si>
    <t>91-DIR-INCOR-ESALUD-2021</t>
  </si>
  <si>
    <t>115-D-RAUC-ESSALUD-2021</t>
  </si>
  <si>
    <t>159-DM-RACAJ-ESSALUD-2021</t>
  </si>
  <si>
    <t>167-D-RAHU-ESSALUD-2021</t>
  </si>
  <si>
    <t>169-D-RAHU-ESSALUD-2021</t>
  </si>
  <si>
    <t>163-GRACU-ESSALUD-2021</t>
  </si>
  <si>
    <t>167-GRACU-ESSALUD-2021</t>
  </si>
  <si>
    <t>216-GRPS-ESSALUD-2021</t>
  </si>
  <si>
    <t>341-G-RALL-ESSALUD-2021</t>
  </si>
  <si>
    <t>218-GRAJ-ESSALUD-2021</t>
  </si>
  <si>
    <t>154-GRA-ICA-ESSALUD-2021</t>
  </si>
  <si>
    <t>105-GRALO-ESSALUD-2021</t>
  </si>
  <si>
    <t>168-DM-RACAJ-ESSALUD-2021</t>
  </si>
  <si>
    <t>19.04.2021</t>
  </si>
  <si>
    <t>124-D-RAUC-ESSALUD-2021</t>
  </si>
  <si>
    <t>116-D-RAHZ-ESSALUD-2021</t>
  </si>
  <si>
    <t>115-D-RAHZ-ESSALUD-2021</t>
  </si>
  <si>
    <t>113-DRAAM-ESSALUD-2021</t>
  </si>
  <si>
    <t>337-GRPA-ESSALUD-2021</t>
  </si>
  <si>
    <t>099-D-RATAR-ESSALUD-2021</t>
  </si>
  <si>
    <t>125-D-RAUC-ESSALUD-2021</t>
  </si>
  <si>
    <t>193-CEABE-ESSALUD-2021</t>
  </si>
  <si>
    <t>260-GRPS-ESSALUD-2021</t>
  </si>
  <si>
    <t>26.04.2021</t>
  </si>
  <si>
    <t>316-GRAAR-ESSALUD-2021</t>
  </si>
  <si>
    <t>143-RAPA-ESSALUD-2021</t>
  </si>
  <si>
    <t>102-D-RATAR-ESSALUD-2021</t>
  </si>
  <si>
    <t>164-GRA-ICA-ESSALUD-2021</t>
  </si>
  <si>
    <t>110-D-RATAR-ESSALUD-2021</t>
  </si>
  <si>
    <t>169-DM-RACAJ-ESSALUD-2021</t>
  </si>
  <si>
    <t>183-GRACU-ESSALUD-2021</t>
  </si>
  <si>
    <t>101-DIR-INCOR-ESSALUD-2021</t>
  </si>
  <si>
    <t>27-CNSR-ESSALUD-2021</t>
  </si>
  <si>
    <t>148-GR-RAPI-ESSALUD-2021</t>
  </si>
  <si>
    <t>23.04.2021</t>
  </si>
  <si>
    <t>209-CEABE-ESSALUD-2021</t>
  </si>
  <si>
    <t>171-DM-RACAJ-ESSALUD-2021</t>
  </si>
  <si>
    <t>181-GRA-ICA-ESSALUD-2021</t>
  </si>
  <si>
    <t>268-GRPR-ESSALUD-2021</t>
  </si>
  <si>
    <t>28.04.2021</t>
  </si>
  <si>
    <t>105-DIR-INCOR-ESSALUD-2021</t>
  </si>
  <si>
    <t>204-GRACU-ESSALUD-2021</t>
  </si>
  <si>
    <t>451-GRALA-JAV-ESSALUD-2021</t>
  </si>
  <si>
    <t>450-GRALA-JAV-ESSALUD-2021</t>
  </si>
  <si>
    <t>118-GRALO-ESSALUD-2021</t>
  </si>
  <si>
    <t>379-G-RALL-ESSALUD-2021</t>
  </si>
  <si>
    <t>310-GRATA-ESSALUD-2021</t>
  </si>
  <si>
    <t>78-D-RAHVCA-ESSALUD-2021</t>
  </si>
  <si>
    <t>285-GCL-ESSALUD-2021</t>
  </si>
  <si>
    <t>459-GRALA-JAV-ESSALUD-2021</t>
  </si>
  <si>
    <t>223-CEABE-ESSALUD-2021</t>
  </si>
  <si>
    <t>55-DR-RATU-ESSALUD-2021</t>
  </si>
  <si>
    <t>125-D-RATAR-ESSALUD-2021</t>
  </si>
  <si>
    <t>467-GRALA-JAV-ESSALUD-2021</t>
  </si>
  <si>
    <t>120-GRALO-ESSALUD-2021</t>
  </si>
  <si>
    <t>393-G-RALL-ESSALUD-2021</t>
  </si>
  <si>
    <t>174-RAPA-ESSALUD-2021</t>
  </si>
  <si>
    <t>112-GRAPUNO-ESSALUD-2021</t>
  </si>
  <si>
    <t>159-GRAAN-ESSLUD-2021</t>
  </si>
  <si>
    <t>280-GRAJ-ESSALUD-2021</t>
  </si>
  <si>
    <t>201-GRA-ICA-ESSALUD-2021</t>
  </si>
  <si>
    <t>10.05.2021</t>
  </si>
  <si>
    <t>146-D-RAUC-ESSALUD-2021</t>
  </si>
  <si>
    <t>12.05.2021</t>
  </si>
  <si>
    <t>123-DRAAM-ESSALUD-2021</t>
  </si>
  <si>
    <t>38-CNSR-ESSALUD-2021</t>
  </si>
  <si>
    <t>160-D-RAUC-ESSALUD-2021</t>
  </si>
  <si>
    <t>292-GRPS-ESSALUD-2021</t>
  </si>
  <si>
    <t>190-DM-RACAJ-ESSALUD-2021</t>
  </si>
  <si>
    <t>171-GR-RAPI-ESSALUD-2021</t>
  </si>
  <si>
    <t>112-D-RAMOY-ESSALUD-2021</t>
  </si>
  <si>
    <t>189-D-RAHU-ESSALUD-2021</t>
  </si>
  <si>
    <t>095-D-RAAY-ESSALUD-2021</t>
  </si>
  <si>
    <t>124-GRAPUNO-ESSALUD-2021</t>
  </si>
  <si>
    <t>170-GRAAN-ESSALUD-2021</t>
  </si>
  <si>
    <t>202-GRA-ICA-ESSALUD-2021</t>
  </si>
  <si>
    <t>18.05.2021</t>
  </si>
  <si>
    <t>240-GRACU-ESSALUD-2021</t>
  </si>
  <si>
    <t>138-D-RATAR-ESSALUD-2021</t>
  </si>
  <si>
    <t>175-DRMOQ-ESSALUD-2021</t>
  </si>
  <si>
    <t>136-GRALO-ESSALUD-2021</t>
  </si>
  <si>
    <t>208-D-RAHU-ESSALUD-2021</t>
  </si>
  <si>
    <t>308-GRPS-ESSALUD-2021</t>
  </si>
  <si>
    <t>20.05.2021</t>
  </si>
  <si>
    <t>110-D-RAAP-ESSALUD-2021</t>
  </si>
  <si>
    <t>Red Asistencial Apurímac</t>
  </si>
  <si>
    <t>96-D-RAAY-ESSALUD-2021</t>
  </si>
  <si>
    <t>235-GRACU-ESSALUD-2021</t>
  </si>
  <si>
    <t>428-G-RALL-ESSALUD-2021</t>
  </si>
  <si>
    <t>207-DM-RACAJ-ESSALUD-2021</t>
  </si>
  <si>
    <t>25.05.2021</t>
  </si>
  <si>
    <t>196-GR-RAPI-ESSALUD-2021</t>
  </si>
  <si>
    <t>090-D-RAHVCA-ESSALUD-2021</t>
  </si>
  <si>
    <t>210-D-RAHU-ESSALUD-2021</t>
  </si>
  <si>
    <t>045-CNSR-ESSALUD-2021</t>
  </si>
  <si>
    <t>164-D-RAUC-ESSALUD-2021</t>
  </si>
  <si>
    <t>119-D-RAMOY-ESSALUD-2021</t>
  </si>
  <si>
    <t>137-DIR-INCOR-ESSALUD-2021</t>
  </si>
  <si>
    <t>28.05.2021</t>
  </si>
  <si>
    <t>201-DRAMOQ-ESSALUD-2021</t>
  </si>
  <si>
    <t>195-GRAJUL-ESSALUD-2021</t>
  </si>
  <si>
    <t>221-GRA-ICA-ESSALUD-2021</t>
  </si>
  <si>
    <t>447-G-RALL-ESSALUD-2021</t>
  </si>
  <si>
    <t>516-GRPL-ESSALUD-2021</t>
  </si>
  <si>
    <t>220-GR-RAPI-ESSALUD-2021</t>
  </si>
  <si>
    <t>155-D-RAHZ-ESSALUD-2021</t>
  </si>
  <si>
    <t>315-GRAJ-ESSALUD-2021</t>
  </si>
  <si>
    <t>387-GRATA-ESSALUD-2021</t>
  </si>
  <si>
    <t>487-GRPA-ESSALUD-2021</t>
  </si>
  <si>
    <t>337-GRPR-ESSALUD-2021</t>
  </si>
  <si>
    <t>536-GRPL-ESSALUD-2021</t>
  </si>
  <si>
    <t>470-G-RALL-ESSALUD-2021</t>
  </si>
  <si>
    <t>144-GRALO-ESSALUD-2021</t>
  </si>
  <si>
    <t>345-GRPR-ESSALUD-2021</t>
  </si>
  <si>
    <t>145-DIR-INCOR-ESSALUD-2021</t>
  </si>
  <si>
    <t>214-DRAMOQ-ESSALUD-2021</t>
  </si>
  <si>
    <t>053-CNSR-ESSALUD-2021</t>
  </si>
  <si>
    <t>09.06.2021</t>
  </si>
  <si>
    <t>498-GRAAR-ESSALUD-2021</t>
  </si>
  <si>
    <t>562-GRPL-ESSALUD-2021</t>
  </si>
  <si>
    <t>476-G-RALL-ESSALUD-2021</t>
  </si>
  <si>
    <t>200-GRAAN-ESSALUD-2021</t>
  </si>
  <si>
    <t>230-GR-RAPI-ESSALUD-2021</t>
  </si>
  <si>
    <t>157-GRAPUNO-ESSALUD-2021</t>
  </si>
  <si>
    <t>124-D-RAAP-ESSALUD-2021</t>
  </si>
  <si>
    <t>275-GRACU-ESSALUD-2021</t>
  </si>
  <si>
    <t>118-D-RAAY-ESSALUD-2021</t>
  </si>
  <si>
    <t>267-GRACU-ESSALUD-2021</t>
  </si>
  <si>
    <t>259-GRACU-ESSALUD-2021</t>
  </si>
  <si>
    <t>322-CEABE-ESSALUD-2021</t>
  </si>
  <si>
    <t>149-GRALO-ESSALUD-2021</t>
  </si>
  <si>
    <t>376-GRPS-ESSALUD-2021</t>
  </si>
  <si>
    <t>279-GRACU-ESSALUD-2021</t>
  </si>
  <si>
    <t>374-GRAJ-ESSALUD-2021</t>
  </si>
  <si>
    <t>549-GRPA-ESSALUD-2021</t>
  </si>
  <si>
    <t>420-GRATA-ESSALUD-2021</t>
  </si>
  <si>
    <t>542-GRPL-ESSALUD-2021</t>
  </si>
  <si>
    <t>08.06.2021</t>
  </si>
  <si>
    <t>175-D-RAUC-ESSALUD-2021</t>
  </si>
  <si>
    <t>154-GRALO-ESSALUD-2021</t>
  </si>
  <si>
    <t>286-GRACU-ESSALUD-2021</t>
  </si>
  <si>
    <t>149-DIR-INCOR-ESSALUD-2021</t>
  </si>
  <si>
    <t>515-G-RALL-ESSALUD-2021</t>
  </si>
  <si>
    <t>091-DR-RAMD-ESSALUD-2021</t>
  </si>
  <si>
    <t>222-DM-RACAJ-ESSALUD-2021</t>
  </si>
  <si>
    <t>129va. Versión</t>
  </si>
  <si>
    <t>130va. Versión</t>
  </si>
  <si>
    <t>131va. Versión</t>
  </si>
  <si>
    <t>132va. Versión</t>
  </si>
  <si>
    <t>481-GCL-ESSALUD-2021</t>
  </si>
  <si>
    <t>28.06.2021</t>
  </si>
  <si>
    <t>30.06.2021</t>
  </si>
  <si>
    <t>482-GCL-ESSALUD-2021</t>
  </si>
  <si>
    <t>438-GRATA-ESSALUD-2021</t>
  </si>
  <si>
    <t>177-D-RAUC-ESSALUD-2021</t>
  </si>
  <si>
    <t>227-DRAMOQ-ESSALUD-2021</t>
  </si>
  <si>
    <t>125-D-RAAY-ESSALUD-2021</t>
  </si>
  <si>
    <t>167-D-RAMOY-ESSALUD-2021</t>
  </si>
  <si>
    <t>Desagregado Valorizado por Red Asistencial, Centros Especializados y CEABE que solicitaron Inclusiones y Exclusiones al  PAC 2021 - 2do. Trimestre 2021</t>
  </si>
  <si>
    <t>Consolidado de Inclusiones y Exclusiones al PAC 2021 - 
2do. Trimestre 2021</t>
  </si>
  <si>
    <t>Procesos de Selección, incluye Contrataciones Directas
(Versión N°64 al 132)</t>
  </si>
  <si>
    <t>ANEXO A</t>
  </si>
  <si>
    <t>PLAN ANUAL DE CONTRATACIONES DEL 2021
 Segundo Trimestre 2021 (Abril a Junio 2021)
(Inclusiones y Exclusiones)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</si>
</sst>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Arial"/>
      <family val="2"/>
    </font>
    <font>
      <sz val="8"/>
      <color rgb="FF333333"/>
      <name val="Trebuchet MS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8"/>
      <color rgb="FF333333"/>
      <name val="Trebuchet MS"/>
      <family val="2"/>
    </font>
    <font>
      <sz val="10"/>
      <color theme="1"/>
      <name val="Trebuchet MS"/>
      <family val="2"/>
    </font>
    <font>
      <sz val="9"/>
      <color rgb="FF333333"/>
      <name val="Trebuchet MS"/>
      <family val="2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66FF99"/>
        <bgColor indexed="64"/>
      </patternFill>
    </fill>
    <fill>
      <patternFill patternType="solid">
        <fgColor rgb="FFFFFFCC"/>
        <bgColor theme="4" tint="0.79998168889431442"/>
      </patternFill>
    </fill>
  </fills>
  <borders count="43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3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0" fillId="0" borderId="0" xfId="0" applyNumberFormat="1"/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13" fillId="0" borderId="0" xfId="0" applyFont="1"/>
    <xf numFmtId="3" fontId="11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/>
    </xf>
    <xf numFmtId="3" fontId="12" fillId="0" borderId="13" xfId="0" applyNumberFormat="1" applyFont="1" applyBorder="1" applyAlignment="1">
      <alignment vertical="center"/>
    </xf>
    <xf numFmtId="3" fontId="12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5" fillId="0" borderId="8" xfId="0" applyFont="1" applyBorder="1"/>
    <xf numFmtId="0" fontId="14" fillId="0" borderId="15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11" xfId="0" applyFont="1" applyBorder="1"/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0" fontId="14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vertical="center"/>
    </xf>
    <xf numFmtId="0" fontId="14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5" fillId="0" borderId="15" xfId="0" applyFont="1" applyBorder="1"/>
    <xf numFmtId="0" fontId="15" fillId="0" borderId="11" xfId="0" applyFont="1" applyBorder="1" applyAlignment="1">
      <alignment horizontal="left" vertical="center"/>
    </xf>
    <xf numFmtId="4" fontId="6" fillId="2" borderId="29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4" fontId="1" fillId="0" borderId="0" xfId="0" applyNumberFormat="1" applyFont="1"/>
    <xf numFmtId="3" fontId="15" fillId="0" borderId="3" xfId="0" applyNumberFormat="1" applyFont="1" applyBorder="1" applyAlignment="1">
      <alignment horizontal="left" vertical="center"/>
    </xf>
    <xf numFmtId="0" fontId="15" fillId="0" borderId="4" xfId="0" applyFont="1" applyBorder="1" applyAlignment="1">
      <alignment vertical="center"/>
    </xf>
    <xf numFmtId="0" fontId="15" fillId="6" borderId="1" xfId="0" applyFont="1" applyFill="1" applyBorder="1"/>
    <xf numFmtId="0" fontId="15" fillId="0" borderId="32" xfId="0" applyFont="1" applyBorder="1"/>
    <xf numFmtId="0" fontId="14" fillId="0" borderId="32" xfId="0" applyFont="1" applyBorder="1" applyAlignment="1">
      <alignment horizontal="left" vertical="center"/>
    </xf>
    <xf numFmtId="0" fontId="14" fillId="0" borderId="32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3" fontId="11" fillId="0" borderId="15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NumberFormat="1"/>
    <xf numFmtId="0" fontId="6" fillId="0" borderId="33" xfId="0" applyNumberFormat="1" applyFont="1" applyBorder="1" applyAlignment="1">
      <alignment horizontal="center" vertical="center"/>
    </xf>
    <xf numFmtId="0" fontId="1" fillId="7" borderId="3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17" fillId="7" borderId="33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164" fontId="10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right"/>
    </xf>
    <xf numFmtId="0" fontId="6" fillId="0" borderId="29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16" fillId="0" borderId="29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0" fontId="15" fillId="0" borderId="4" xfId="0" applyFont="1" applyBorder="1"/>
    <xf numFmtId="0" fontId="15" fillId="0" borderId="22" xfId="0" applyFont="1" applyBorder="1"/>
    <xf numFmtId="0" fontId="15" fillId="0" borderId="7" xfId="0" applyFont="1" applyBorder="1"/>
    <xf numFmtId="0" fontId="3" fillId="0" borderId="8" xfId="0" applyFont="1" applyBorder="1"/>
    <xf numFmtId="0" fontId="3" fillId="0" borderId="11" xfId="0" applyFont="1" applyBorder="1"/>
    <xf numFmtId="0" fontId="18" fillId="0" borderId="37" xfId="0" applyNumberFormat="1" applyFont="1" applyBorder="1" applyAlignment="1">
      <alignment horizontal="center" vertical="center"/>
    </xf>
    <xf numFmtId="0" fontId="18" fillId="0" borderId="36" xfId="0" applyNumberFormat="1" applyFont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17" fillId="9" borderId="14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left" vertical="center"/>
    </xf>
    <xf numFmtId="3" fontId="15" fillId="0" borderId="8" xfId="0" applyNumberFormat="1" applyFont="1" applyBorder="1" applyAlignment="1">
      <alignment horizontal="left" vertical="center"/>
    </xf>
    <xf numFmtId="3" fontId="12" fillId="0" borderId="6" xfId="0" applyNumberFormat="1" applyFont="1" applyBorder="1" applyAlignment="1">
      <alignment vertical="center"/>
    </xf>
    <xf numFmtId="3" fontId="15" fillId="0" borderId="1" xfId="0" applyNumberFormat="1" applyFont="1" applyBorder="1" applyAlignment="1">
      <alignment horizontal="left" vertical="center"/>
    </xf>
    <xf numFmtId="3" fontId="15" fillId="0" borderId="11" xfId="0" applyNumberFormat="1" applyFont="1" applyBorder="1" applyAlignment="1">
      <alignment horizontal="left" vertical="center"/>
    </xf>
    <xf numFmtId="4" fontId="11" fillId="6" borderId="15" xfId="0" applyNumberFormat="1" applyFont="1" applyFill="1" applyBorder="1" applyAlignment="1">
      <alignment horizontal="right" vertical="center"/>
    </xf>
    <xf numFmtId="49" fontId="15" fillId="0" borderId="8" xfId="0" applyNumberFormat="1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5" fillId="0" borderId="11" xfId="0" applyNumberFormat="1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4" fontId="11" fillId="6" borderId="3" xfId="0" applyNumberFormat="1" applyFont="1" applyFill="1" applyBorder="1" applyAlignment="1">
      <alignment horizontal="right" vertical="center"/>
    </xf>
    <xf numFmtId="4" fontId="11" fillId="6" borderId="22" xfId="0" applyNumberFormat="1" applyFont="1" applyFill="1" applyBorder="1" applyAlignment="1">
      <alignment horizontal="right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32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right" vertical="center"/>
    </xf>
    <xf numFmtId="4" fontId="11" fillId="6" borderId="8" xfId="0" applyNumberFormat="1" applyFont="1" applyFill="1" applyBorder="1" applyAlignment="1">
      <alignment horizontal="right" vertical="center"/>
    </xf>
    <xf numFmtId="4" fontId="11" fillId="6" borderId="1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4" fontId="11" fillId="6" borderId="8" xfId="0" applyNumberFormat="1" applyFont="1" applyFill="1" applyBorder="1" applyAlignment="1">
      <alignment horizontal="right" vertical="center"/>
    </xf>
    <xf numFmtId="4" fontId="11" fillId="6" borderId="11" xfId="0" applyNumberFormat="1" applyFont="1" applyFill="1" applyBorder="1" applyAlignment="1">
      <alignment horizontal="right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" fontId="11" fillId="6" borderId="3" xfId="0" applyNumberFormat="1" applyFont="1" applyFill="1" applyBorder="1" applyAlignment="1">
      <alignment horizontal="right" vertical="center"/>
    </xf>
    <xf numFmtId="3" fontId="11" fillId="0" borderId="32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4" fontId="11" fillId="6" borderId="32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 applyAlignment="1">
      <alignment horizontal="right" vertical="center"/>
    </xf>
    <xf numFmtId="0" fontId="3" fillId="0" borderId="42" xfId="0" applyFont="1" applyBorder="1"/>
    <xf numFmtId="16" fontId="14" fillId="0" borderId="11" xfId="0" applyNumberFormat="1" applyFont="1" applyBorder="1" applyAlignment="1">
      <alignment horizontal="center" vertical="center"/>
    </xf>
    <xf numFmtId="4" fontId="11" fillId="6" borderId="7" xfId="0" applyNumberFormat="1" applyFont="1" applyFill="1" applyBorder="1" applyAlignment="1">
      <alignment horizontal="right" vertical="center"/>
    </xf>
    <xf numFmtId="4" fontId="11" fillId="0" borderId="32" xfId="0" applyNumberFormat="1" applyFont="1" applyBorder="1" applyAlignment="1">
      <alignment horizontal="right" vertical="center"/>
    </xf>
    <xf numFmtId="4" fontId="0" fillId="0" borderId="41" xfId="0" applyNumberForma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/>
    </xf>
    <xf numFmtId="4" fontId="0" fillId="0" borderId="41" xfId="0" applyNumberFormat="1" applyBorder="1" applyAlignment="1">
      <alignment horizontal="right"/>
    </xf>
    <xf numFmtId="3" fontId="11" fillId="0" borderId="1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right" vertical="center"/>
    </xf>
    <xf numFmtId="3" fontId="11" fillId="0" borderId="32" xfId="0" applyNumberFormat="1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/>
    </xf>
    <xf numFmtId="3" fontId="11" fillId="0" borderId="4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right" vertical="center"/>
    </xf>
    <xf numFmtId="4" fontId="11" fillId="6" borderId="8" xfId="0" applyNumberFormat="1" applyFont="1" applyFill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center" vertical="center"/>
    </xf>
    <xf numFmtId="4" fontId="11" fillId="6" borderId="32" xfId="0" applyNumberFormat="1" applyFont="1" applyFill="1" applyBorder="1" applyAlignment="1">
      <alignment horizontal="right" vertical="center"/>
    </xf>
    <xf numFmtId="3" fontId="12" fillId="0" borderId="24" xfId="0" applyNumberFormat="1" applyFont="1" applyBorder="1" applyAlignment="1">
      <alignment vertical="center"/>
    </xf>
    <xf numFmtId="4" fontId="0" fillId="0" borderId="41" xfId="0" applyNumberFormat="1" applyBorder="1"/>
    <xf numFmtId="4" fontId="11" fillId="6" borderId="7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/>
    </xf>
    <xf numFmtId="0" fontId="15" fillId="0" borderId="32" xfId="0" applyFont="1" applyBorder="1" applyAlignment="1">
      <alignment vertical="center"/>
    </xf>
    <xf numFmtId="3" fontId="11" fillId="6" borderId="1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left" vertical="center"/>
    </xf>
    <xf numFmtId="0" fontId="15" fillId="0" borderId="15" xfId="0" applyFont="1" applyBorder="1" applyAlignment="1">
      <alignment vertical="center"/>
    </xf>
    <xf numFmtId="0" fontId="15" fillId="0" borderId="32" xfId="0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3" fontId="12" fillId="0" borderId="5" xfId="0" applyNumberFormat="1" applyFont="1" applyBorder="1" applyAlignment="1">
      <alignment vertical="center"/>
    </xf>
    <xf numFmtId="0" fontId="15" fillId="0" borderId="32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right" vertical="center" wrapText="1"/>
    </xf>
    <xf numFmtId="3" fontId="11" fillId="0" borderId="32" xfId="0" applyNumberFormat="1" applyFont="1" applyBorder="1" applyAlignment="1">
      <alignment horizontal="center" vertical="center" wrapText="1"/>
    </xf>
    <xf numFmtId="4" fontId="11" fillId="0" borderId="32" xfId="0" applyNumberFormat="1" applyFont="1" applyBorder="1" applyAlignment="1">
      <alignment horizontal="right" vertical="center" wrapText="1"/>
    </xf>
    <xf numFmtId="3" fontId="11" fillId="0" borderId="32" xfId="0" applyNumberFormat="1" applyFont="1" applyBorder="1" applyAlignment="1">
      <alignment horizontal="right" vertical="center" wrapText="1"/>
    </xf>
    <xf numFmtId="4" fontId="0" fillId="0" borderId="8" xfId="0" applyNumberFormat="1" applyBorder="1"/>
    <xf numFmtId="0" fontId="0" fillId="0" borderId="11" xfId="0" applyBorder="1"/>
    <xf numFmtId="4" fontId="0" fillId="0" borderId="4" xfId="0" applyNumberFormat="1" applyBorder="1"/>
    <xf numFmtId="0" fontId="0" fillId="0" borderId="1" xfId="0" applyBorder="1"/>
    <xf numFmtId="4" fontId="0" fillId="0" borderId="2" xfId="0" applyNumberFormat="1" applyBorder="1" applyAlignment="1">
      <alignment vertical="center"/>
    </xf>
    <xf numFmtId="0" fontId="0" fillId="0" borderId="0" xfId="0" pivotButton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/>
    <xf numFmtId="0" fontId="6" fillId="0" borderId="0" xfId="0" applyNumberFormat="1" applyFont="1"/>
    <xf numFmtId="0" fontId="0" fillId="0" borderId="8" xfId="0" applyBorder="1" applyAlignment="1">
      <alignment horizontal="left"/>
    </xf>
    <xf numFmtId="0" fontId="0" fillId="0" borderId="8" xfId="0" applyNumberForma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" fontId="0" fillId="0" borderId="1" xfId="0" applyNumberFormat="1" applyBorder="1"/>
    <xf numFmtId="4" fontId="0" fillId="0" borderId="17" xfId="0" applyNumberFormat="1" applyBorder="1"/>
    <xf numFmtId="4" fontId="0" fillId="0" borderId="19" xfId="0" applyNumberFormat="1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4" fontId="0" fillId="0" borderId="11" xfId="0" applyNumberFormat="1" applyBorder="1"/>
    <xf numFmtId="4" fontId="0" fillId="0" borderId="21" xfId="0" applyNumberFormat="1" applyBorder="1"/>
    <xf numFmtId="0" fontId="8" fillId="6" borderId="0" xfId="0" applyFont="1" applyFill="1" applyAlignment="1">
      <alignment horizontal="left"/>
    </xf>
    <xf numFmtId="4" fontId="8" fillId="6" borderId="0" xfId="0" applyNumberFormat="1" applyFont="1" applyFill="1"/>
    <xf numFmtId="0" fontId="8" fillId="6" borderId="0" xfId="0" applyNumberFormat="1" applyFont="1" applyFill="1"/>
    <xf numFmtId="0" fontId="6" fillId="0" borderId="0" xfId="0" applyFont="1" applyAlignment="1">
      <alignment horizontal="left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/>
    </xf>
    <xf numFmtId="3" fontId="12" fillId="0" borderId="21" xfId="0" applyNumberFormat="1" applyFont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right" vertical="center"/>
    </xf>
    <xf numFmtId="4" fontId="11" fillId="6" borderId="8" xfId="0" applyNumberFormat="1" applyFont="1" applyFill="1" applyBorder="1" applyAlignment="1">
      <alignment horizontal="right" vertical="center"/>
    </xf>
    <xf numFmtId="4" fontId="11" fillId="6" borderId="11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/>
    </xf>
    <xf numFmtId="0" fontId="12" fillId="0" borderId="31" xfId="0" applyFont="1" applyBorder="1" applyAlignment="1">
      <alignment horizontal="center" vertical="center"/>
    </xf>
    <xf numFmtId="3" fontId="11" fillId="0" borderId="32" xfId="0" applyNumberFormat="1" applyFont="1" applyBorder="1" applyAlignment="1">
      <alignment horizontal="center" vertical="center"/>
    </xf>
    <xf numFmtId="3" fontId="12" fillId="0" borderId="30" xfId="0" applyNumberFormat="1" applyFont="1" applyBorder="1" applyAlignment="1">
      <alignment horizontal="center" vertical="center"/>
    </xf>
    <xf numFmtId="4" fontId="11" fillId="6" borderId="3" xfId="0" applyNumberFormat="1" applyFont="1" applyFill="1" applyBorder="1" applyAlignment="1">
      <alignment horizontal="right" vertical="center"/>
    </xf>
    <xf numFmtId="4" fontId="11" fillId="6" borderId="22" xfId="0" applyNumberFormat="1" applyFont="1" applyFill="1" applyBorder="1" applyAlignment="1">
      <alignment horizontal="right" vertic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24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right" vertical="center"/>
    </xf>
    <xf numFmtId="3" fontId="11" fillId="0" borderId="4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4" fontId="11" fillId="6" borderId="32" xfId="0" applyNumberFormat="1" applyFont="1" applyFill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3" fontId="11" fillId="0" borderId="15" xfId="0" applyNumberFormat="1" applyFont="1" applyBorder="1" applyAlignment="1">
      <alignment horizontal="center" vertical="center"/>
    </xf>
    <xf numFmtId="3" fontId="12" fillId="0" borderId="26" xfId="0" applyNumberFormat="1" applyFont="1" applyBorder="1" applyAlignment="1">
      <alignment horizontal="center" vertical="center"/>
    </xf>
    <xf numFmtId="4" fontId="0" fillId="0" borderId="3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right" vertical="center" wrapText="1"/>
    </xf>
    <xf numFmtId="4" fontId="11" fillId="6" borderId="32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32" xfId="0" applyNumberFormat="1" applyFont="1" applyBorder="1" applyAlignment="1">
      <alignment horizontal="right" vertical="center" wrapText="1"/>
    </xf>
    <xf numFmtId="3" fontId="12" fillId="0" borderId="17" xfId="0" applyNumberFormat="1" applyFont="1" applyBorder="1" applyAlignment="1">
      <alignment horizontal="right" vertical="center" wrapText="1"/>
    </xf>
    <xf numFmtId="3" fontId="12" fillId="0" borderId="30" xfId="0" applyNumberFormat="1" applyFont="1" applyBorder="1" applyAlignment="1">
      <alignment horizontal="right" vertical="center" wrapText="1"/>
    </xf>
    <xf numFmtId="0" fontId="16" fillId="0" borderId="34" xfId="0" applyFont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7" borderId="34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</cellXfs>
  <cellStyles count="1">
    <cellStyle name="Normal" xfId="0" builtinId="0"/>
  </cellStyles>
  <dxfs count="19">
    <dxf>
      <font>
        <sz val="12"/>
      </font>
    </dxf>
    <dxf>
      <font>
        <name val="Arial"/>
        <scheme val="none"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  <sz val="12"/>
        <name val="Arial"/>
        <scheme val="none"/>
      </font>
    </dxf>
    <dxf>
      <font>
        <sz val="12"/>
      </font>
    </dxf>
    <dxf>
      <font>
        <name val="Arial"/>
        <scheme val="none"/>
      </font>
    </dxf>
    <dxf>
      <font>
        <b/>
      </font>
    </dxf>
    <dxf>
      <font>
        <b/>
        <name val="Arial"/>
        <scheme val="none"/>
      </font>
    </dxf>
    <dxf>
      <numFmt numFmtId="4" formatCode="#,##0.00"/>
    </dxf>
    <dxf>
      <font>
        <name val="Arial"/>
        <scheme val="none"/>
      </font>
    </dxf>
    <dxf>
      <font>
        <b/>
      </font>
    </dxf>
    <dxf>
      <numFmt numFmtId="4" formatCode="#,##0.00"/>
    </dxf>
    <dxf>
      <alignment horizontal="center" readingOrder="0"/>
    </dxf>
    <dxf>
      <alignment horizontal="justify" vertical="center" wrapText="1" readingOrder="0"/>
    </dxf>
    <dxf>
      <alignment horizontal="justify" vertical="center" wrapText="1" readingOrder="0"/>
    </dxf>
  </dxfs>
  <tableStyles count="0" defaultTableStyle="TableStyleMedium2" defaultPivotStyle="PivotStyleLight16"/>
  <colors>
    <mruColors>
      <color rgb="FF66FF99"/>
      <color rgb="FFFFFFCC"/>
      <color rgb="FF66FFFF"/>
      <color rgb="FF0000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ntura Corisonco Jorge Luis" refreshedDate="44383.712180555558" createdVersion="6" refreshedVersion="6" minRefreshableVersion="3" recordCount="183">
  <cacheSource type="worksheet">
    <worksheetSource ref="A3:M186" sheet="INCL. y EXCL. 2DO TRIM.2021"/>
  </cacheSource>
  <cacheFields count="13">
    <cacheField name="N°" numFmtId="0">
      <sharedItems containsBlank="1" containsMixedTypes="1" containsNumber="1" containsInteger="1" minValue="1" maxValue="69"/>
    </cacheField>
    <cacheField name="N° Resolución" numFmtId="0">
      <sharedItems containsBlank="1"/>
    </cacheField>
    <cacheField name="DEPENDENCIA SOLICITANTE" numFmtId="0">
      <sharedItems containsBlank="1" count="34">
        <s v="Gerencia Central de Logística"/>
        <s v="Red Asistencial Moyobamba"/>
        <s v="Red Asistencial Pasco"/>
        <s v="Red Asistencial Puno"/>
        <s v="Red Asistencial Cusco"/>
        <s v="Red Prestacional Sabogal"/>
        <s v="Red Asistencial Lambayeque"/>
        <s v="Central de Abastecimiento de Bienes Estratégicos"/>
        <s v="Red Asistencial Huancavelica"/>
        <s v="Red Asistencial Moquegua"/>
        <s v="Red Asistencial Huánuco"/>
        <s v="Red Asistencial Tacna"/>
        <s v="Red Asistencial La Libertad"/>
        <s v="Red Prestacional Rebagliati"/>
        <s v="Instituto Nacional Cardiovascular"/>
        <s v="Red Asistencial Ucayali"/>
        <s v="Red Asistencial Cajamarca"/>
        <s v="Red Asistencial Junín"/>
        <s v="Red Asistencial Ica"/>
        <s v="Red Asistencial Loreto"/>
        <s v="Red Asistencial Huaraz"/>
        <s v="Red Asistencial Amazonas"/>
        <s v="Red Prestacional Almenara"/>
        <s v="Red Asistencial Tarapoto"/>
        <s v="Red Asistencial Arequipa"/>
        <s v="Centro Nacional de Salud Renal"/>
        <s v="Red Asistencial Piura"/>
        <s v="Red Asistencial Tumbes"/>
        <s v="Red Asistencial Ancash"/>
        <s v="Red Asistencial Ayacucho"/>
        <s v="Red Asistencial Apurímac"/>
        <s v="Red Asistencial Juliaca"/>
        <s v="Red Asistencial Madre de Dios"/>
        <m/>
      </sharedItems>
    </cacheField>
    <cacheField name="Fecha_x000a_de_x000a_Resolución" numFmtId="0">
      <sharedItems containsBlank="1"/>
    </cacheField>
    <cacheField name="Número total de procesos incluidos" numFmtId="0">
      <sharedItems containsSemiMixedTypes="0" containsString="0" containsNumber="1" containsInteger="1" minValue="0" maxValue="689"/>
    </cacheField>
    <cacheField name=" Número total de procesos excluidos" numFmtId="0">
      <sharedItems containsSemiMixedTypes="0" containsString="0" containsNumber="1" containsInteger="1" minValue="0" maxValue="42"/>
    </cacheField>
    <cacheField name="Total Incluido_x000a_por Red_x000a_Soles_x000a_S/." numFmtId="4">
      <sharedItems containsSemiMixedTypes="0" containsString="0" containsNumber="1" minValue="0" maxValue="1517189101.3500001"/>
    </cacheField>
    <cacheField name="Total Excluido_x000a_por Red_x000a_Soles_x000a_S/." numFmtId="0">
      <sharedItems containsSemiMixedTypes="0" containsString="0" containsNumber="1" minValue="0" maxValue="91660436.219999999"/>
    </cacheField>
    <cacheField name="Total Incluido_x000a_por  Versión_x000a_Soles_x000a_S/." numFmtId="4">
      <sharedItems containsString="0" containsBlank="1" containsNumber="1" minValue="40792.9" maxValue="1517189101.3499999" count="71">
        <n v="6301268.9500000002"/>
        <n v="16975887.75"/>
        <m/>
        <n v="87004239.379999995"/>
        <n v="11287424.630000001"/>
        <n v="7024395.7699999996"/>
        <n v="2570305.5"/>
        <n v="1525565.9"/>
        <n v="21243295.399999999"/>
        <n v="15342169.27"/>
        <n v="8772392.2200000007"/>
        <n v="8365588.0599999996"/>
        <n v="46431055.090000004"/>
        <n v="4298890.57"/>
        <n v="153942775.06"/>
        <n v="1402306.24"/>
        <n v="33723580.840000004"/>
        <n v="17596357.82"/>
        <n v="29020282.780000001"/>
        <n v="4035354.25"/>
        <n v="1365375.38"/>
        <n v="4289439.75"/>
        <n v="641468.5"/>
        <n v="359919"/>
        <n v="517940"/>
        <n v="31915341.789999999"/>
        <n v="6530094"/>
        <n v="6752104.96"/>
        <n v="1870294"/>
        <n v="4112848.2"/>
        <n v="6618429.3399999999"/>
        <n v="2714774.12"/>
        <n v="4592658.17"/>
        <n v="73517730.620000005"/>
        <n v="2602667.7799999998"/>
        <n v="5553263.0800000001"/>
        <n v="3034212.21"/>
        <n v="5114252.2"/>
        <n v="515831576.75"/>
        <n v="253300"/>
        <n v="10629776.310000001"/>
        <n v="8533630.1300000008"/>
        <n v="11868122.52"/>
        <n v="78918894.299999997"/>
        <n v="2444906.73"/>
        <n v="18452010.690000001"/>
        <n v="671224.13"/>
        <n v="1070787.54"/>
        <n v="2148032.29"/>
        <n v="6881301.1699999999"/>
        <n v="2628703.52"/>
        <n v="5306897.04"/>
        <n v="631972.54"/>
        <n v="687000"/>
        <n v="4465829.12"/>
        <n v="54588694.439999998"/>
        <n v="10003317.529999999"/>
        <n v="3944822.61"/>
        <n v="6288134.2699999996"/>
        <n v="11331879.09"/>
        <n v="35433164.530000001"/>
        <n v="1201397.6399999999"/>
        <n v="4446024.84"/>
        <n v="153127.22"/>
        <n v="2930437.77"/>
        <n v="1519778"/>
        <n v="1955817"/>
        <n v="67591071.75"/>
        <n v="40792.9"/>
        <n v="5370728.4000000004"/>
        <n v="1517189101.3499999"/>
      </sharedItems>
    </cacheField>
    <cacheField name="Total Excluido_x000a_por Versión_x000a_en Soles_x000a_S/." numFmtId="0">
      <sharedItems containsString="0" containsBlank="1" containsNumber="1" minValue="0" maxValue="91660436.219999999"/>
    </cacheField>
    <cacheField name="Número de rectificaciones" numFmtId="0">
      <sharedItems containsNonDate="0" containsString="0" containsBlank="1"/>
    </cacheField>
    <cacheField name="Versión" numFmtId="0">
      <sharedItems containsBlank="1"/>
    </cacheField>
    <cacheField name="Fecha de Publicación_x000a_en SEAC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3">
  <r>
    <n v="1"/>
    <s v="155-GCL-ESSALUD-2021"/>
    <x v="0"/>
    <s v="06.04.2021"/>
    <n v="10"/>
    <n v="6"/>
    <n v="6301268.9500000002"/>
    <n v="550000"/>
    <x v="0"/>
    <n v="550000"/>
    <m/>
    <s v="64va. Versión"/>
    <s v="06.04.2021"/>
  </r>
  <r>
    <n v="2"/>
    <s v="75-D-RAMOY-ESSALUD-2021"/>
    <x v="1"/>
    <s v="30.03.2021"/>
    <n v="1"/>
    <n v="0"/>
    <n v="72000"/>
    <n v="0"/>
    <x v="1"/>
    <n v="480000"/>
    <m/>
    <s v="65va. Versión"/>
    <s v="07.04.2021"/>
  </r>
  <r>
    <m/>
    <s v="138-RAPA-ESSALUD-2021"/>
    <x v="2"/>
    <s v="07.04.2021"/>
    <n v="3"/>
    <n v="0"/>
    <n v="389553.13"/>
    <n v="0"/>
    <x v="2"/>
    <m/>
    <m/>
    <m/>
    <m/>
  </r>
  <r>
    <m/>
    <s v="87-GRAPUNO-ESSALUD-2021"/>
    <x v="3"/>
    <s v="31.03.2021"/>
    <n v="1"/>
    <n v="1"/>
    <n v="204986.3"/>
    <n v="480000"/>
    <x v="2"/>
    <m/>
    <m/>
    <m/>
    <m/>
  </r>
  <r>
    <m/>
    <s v="90-GRAPUNO-ESSALUD-2021"/>
    <x v="3"/>
    <s v="31.03.2021"/>
    <n v="1"/>
    <n v="0"/>
    <n v="455558.28"/>
    <n v="0"/>
    <x v="2"/>
    <m/>
    <m/>
    <m/>
    <m/>
  </r>
  <r>
    <m/>
    <s v="91-GRAPUNO-ESSALUD-2021"/>
    <x v="3"/>
    <s v="31.03.2021"/>
    <n v="1"/>
    <n v="0"/>
    <n v="39813.79"/>
    <n v="0"/>
    <x v="2"/>
    <m/>
    <m/>
    <m/>
    <m/>
  </r>
  <r>
    <m/>
    <s v="151-GRACU-ESSALUD-2021"/>
    <x v="4"/>
    <s v="06.04.2021"/>
    <n v="1"/>
    <n v="0"/>
    <n v="64950.73"/>
    <n v="0"/>
    <x v="2"/>
    <m/>
    <m/>
    <m/>
    <m/>
  </r>
  <r>
    <m/>
    <s v="152-GRACU-ESSALUD-2021"/>
    <x v="4"/>
    <s v="06.04.2021"/>
    <n v="1"/>
    <n v="0"/>
    <n v="67310"/>
    <n v="0"/>
    <x v="2"/>
    <m/>
    <m/>
    <m/>
    <m/>
  </r>
  <r>
    <m/>
    <s v="153-GRACU-ESSALUD-2021"/>
    <x v="4"/>
    <s v="06.04.2021"/>
    <n v="1"/>
    <n v="0"/>
    <n v="52200"/>
    <n v="0"/>
    <x v="2"/>
    <m/>
    <m/>
    <m/>
    <m/>
  </r>
  <r>
    <m/>
    <s v="196-GRPS-ESSALUD-2021"/>
    <x v="5"/>
    <s v="31.03.2021"/>
    <n v="8"/>
    <n v="0"/>
    <n v="12541004.870000001"/>
    <n v="0"/>
    <x v="2"/>
    <m/>
    <m/>
    <m/>
    <m/>
  </r>
  <r>
    <m/>
    <s v="389-GRALA-JAV-ESSALUD-2021"/>
    <x v="6"/>
    <s v="31.03.2021"/>
    <n v="6"/>
    <n v="0"/>
    <n v="1591149.32"/>
    <n v="0"/>
    <x v="2"/>
    <m/>
    <m/>
    <m/>
    <m/>
  </r>
  <r>
    <m/>
    <s v="394-GRALA-JAV-ESSALUD-2021"/>
    <x v="6"/>
    <s v="31.03.2021"/>
    <n v="6"/>
    <n v="0"/>
    <n v="1497361.33"/>
    <n v="0"/>
    <x v="2"/>
    <m/>
    <m/>
    <m/>
    <m/>
  </r>
  <r>
    <n v="3"/>
    <s v="164-CEABE-ESSALUD-2021"/>
    <x v="7"/>
    <s v="06.04.2021"/>
    <n v="11"/>
    <n v="0"/>
    <n v="87004239.379999995"/>
    <n v="0"/>
    <x v="3"/>
    <n v="0"/>
    <m/>
    <s v="66va. Versión"/>
    <s v="06.04.2021"/>
  </r>
  <r>
    <n v="4"/>
    <s v="69-D-RAHVCA-ESSALUD-2021"/>
    <x v="8"/>
    <s v="09.04.2021"/>
    <n v="3"/>
    <n v="0"/>
    <n v="483700"/>
    <n v="0"/>
    <x v="4"/>
    <n v="0"/>
    <m/>
    <s v="67va. Versión"/>
    <s v="09.04.2021"/>
  </r>
  <r>
    <m/>
    <s v="137-DRAMOQ-ESSALUD-2021"/>
    <x v="9"/>
    <s v="08.04.2021"/>
    <n v="2"/>
    <n v="0"/>
    <n v="303637.5"/>
    <n v="0"/>
    <x v="2"/>
    <m/>
    <m/>
    <m/>
    <m/>
  </r>
  <r>
    <m/>
    <s v="157-D-RAHU-ESSALUD-2021"/>
    <x v="10"/>
    <s v="05.04.2021"/>
    <n v="2"/>
    <n v="0"/>
    <n v="599004"/>
    <n v="0"/>
    <x v="2"/>
    <m/>
    <m/>
    <m/>
    <m/>
  </r>
  <r>
    <m/>
    <s v="164-GRACU-ESSALUD-2021"/>
    <x v="4"/>
    <s v="06.04.2021"/>
    <n v="1"/>
    <n v="0"/>
    <n v="130000"/>
    <n v="0"/>
    <x v="2"/>
    <m/>
    <m/>
    <m/>
    <m/>
  </r>
  <r>
    <m/>
    <s v="157-GRACU-ESSALUD-2021"/>
    <x v="4"/>
    <s v="08.04.2021"/>
    <n v="1"/>
    <n v="0"/>
    <n v="388801.07"/>
    <n v="0"/>
    <x v="2"/>
    <m/>
    <m/>
    <m/>
    <m/>
  </r>
  <r>
    <m/>
    <s v="276-GRATA-ESSALUD-2021"/>
    <x v="11"/>
    <s v="08.04.2021"/>
    <n v="2"/>
    <n v="0"/>
    <n v="473148.34"/>
    <n v="0"/>
    <x v="2"/>
    <m/>
    <m/>
    <m/>
    <m/>
  </r>
  <r>
    <m/>
    <s v="316-G-RALL-ESSALUD-2021"/>
    <x v="12"/>
    <s v="09.04.2021"/>
    <n v="5"/>
    <n v="0"/>
    <n v="8909133.7200000007"/>
    <n v="0"/>
    <x v="2"/>
    <m/>
    <m/>
    <m/>
    <m/>
  </r>
  <r>
    <n v="5"/>
    <s v="190-GCL-ESSALUD-2021"/>
    <x v="0"/>
    <s v="14.04.2021"/>
    <n v="14"/>
    <n v="0"/>
    <n v="7024395.7699999996"/>
    <n v="0"/>
    <x v="5"/>
    <n v="0"/>
    <m/>
    <s v="68va. Versión"/>
    <s v="14.04.2021"/>
  </r>
  <r>
    <n v="6"/>
    <s v="176-CEABE-ESSALUD-2021"/>
    <x v="7"/>
    <s v="12.04.2021"/>
    <n v="1"/>
    <n v="0"/>
    <n v="2570305.5"/>
    <n v="0"/>
    <x v="6"/>
    <n v="0"/>
    <m/>
    <s v="69va. Versión"/>
    <s v="16.04.2021"/>
  </r>
  <r>
    <n v="7"/>
    <s v="222-GRPR-ESSALUD-2021"/>
    <x v="13"/>
    <s v="15.04.2021"/>
    <n v="4"/>
    <n v="0"/>
    <n v="1525565.9"/>
    <n v="0"/>
    <x v="7"/>
    <n v="0"/>
    <m/>
    <s v="70va. Versión"/>
    <s v="16.04.2021"/>
  </r>
  <r>
    <n v="8"/>
    <s v="91-DIR-INCOR-ESALUD-2021"/>
    <x v="14"/>
    <s v="08.04.2021"/>
    <n v="1"/>
    <n v="0"/>
    <n v="199443.42"/>
    <n v="0"/>
    <x v="8"/>
    <n v="0"/>
    <m/>
    <s v="71va. Versión"/>
    <s v="20.04.2021"/>
  </r>
  <r>
    <m/>
    <s v="115-D-RAUC-ESSALUD-2021"/>
    <x v="15"/>
    <s v="09.04.2021"/>
    <n v="1"/>
    <n v="0"/>
    <n v="48000"/>
    <n v="0"/>
    <x v="2"/>
    <m/>
    <m/>
    <m/>
    <m/>
  </r>
  <r>
    <m/>
    <s v="159-DM-RACAJ-ESSALUD-2021"/>
    <x v="16"/>
    <s v="12.04.2021"/>
    <n v="3"/>
    <n v="0"/>
    <n v="392413.2"/>
    <n v="0"/>
    <x v="2"/>
    <m/>
    <m/>
    <m/>
    <m/>
  </r>
  <r>
    <m/>
    <s v="167-D-RAHU-ESSALUD-2021"/>
    <x v="10"/>
    <s v="09.04.2021"/>
    <n v="1"/>
    <n v="0"/>
    <n v="95843.14"/>
    <n v="0"/>
    <x v="2"/>
    <m/>
    <m/>
    <m/>
    <m/>
  </r>
  <r>
    <m/>
    <s v="169-D-RAHU-ESSALUD-2021"/>
    <x v="10"/>
    <s v="12.04.2021"/>
    <n v="1"/>
    <n v="0"/>
    <n v="360000"/>
    <n v="0"/>
    <x v="2"/>
    <m/>
    <m/>
    <m/>
    <m/>
  </r>
  <r>
    <m/>
    <s v="163-GRACU-ESSALUD-2021"/>
    <x v="4"/>
    <s v="08.04.2021"/>
    <n v="1"/>
    <n v="0"/>
    <n v="160880"/>
    <n v="0"/>
    <x v="2"/>
    <m/>
    <m/>
    <m/>
    <m/>
  </r>
  <r>
    <m/>
    <s v="167-GRACU-ESSALUD-2021"/>
    <x v="4"/>
    <s v="12.04.2021"/>
    <n v="1"/>
    <n v="0"/>
    <n v="92815"/>
    <n v="0"/>
    <x v="2"/>
    <m/>
    <m/>
    <m/>
    <m/>
  </r>
  <r>
    <m/>
    <s v="216-GRPS-ESSALUD-2021"/>
    <x v="5"/>
    <s v="12.04.2021"/>
    <n v="6"/>
    <n v="0"/>
    <n v="19893900.639999997"/>
    <n v="0"/>
    <x v="2"/>
    <m/>
    <m/>
    <m/>
    <m/>
  </r>
  <r>
    <n v="9"/>
    <s v="341-G-RALL-ESSALUD-2021"/>
    <x v="12"/>
    <s v="16.04.2021"/>
    <n v="4"/>
    <n v="0"/>
    <n v="984028.9800000001"/>
    <n v="0"/>
    <x v="9"/>
    <n v="0"/>
    <m/>
    <s v="72va. Versión"/>
    <s v="21.04.2021"/>
  </r>
  <r>
    <m/>
    <s v="218-GRAJ-ESSALUD-2021"/>
    <x v="17"/>
    <s v="15.04.2021"/>
    <n v="2"/>
    <n v="0"/>
    <n v="12118353.59"/>
    <n v="0"/>
    <x v="2"/>
    <m/>
    <m/>
    <m/>
    <m/>
  </r>
  <r>
    <m/>
    <s v="154-GRA-ICA-ESSALUD-2021"/>
    <x v="18"/>
    <s v="14.04.2021"/>
    <n v="2"/>
    <n v="0"/>
    <n v="1100000"/>
    <n v="0"/>
    <x v="2"/>
    <m/>
    <m/>
    <m/>
    <m/>
  </r>
  <r>
    <m/>
    <s v="105-GRALO-ESSALUD-2021"/>
    <x v="19"/>
    <s v="15.04.2021"/>
    <n v="1"/>
    <n v="0"/>
    <n v="185722.62"/>
    <n v="0"/>
    <x v="2"/>
    <m/>
    <m/>
    <m/>
    <m/>
  </r>
  <r>
    <m/>
    <s v="168-DM-RACAJ-ESSALUD-2021"/>
    <x v="16"/>
    <s v="19.04.2021"/>
    <n v="2"/>
    <n v="0"/>
    <n v="238906.08000000002"/>
    <n v="0"/>
    <x v="2"/>
    <m/>
    <m/>
    <m/>
    <m/>
  </r>
  <r>
    <m/>
    <s v="124-D-RAUC-ESSALUD-2021"/>
    <x v="15"/>
    <s v="15.04.2021"/>
    <n v="1"/>
    <n v="0"/>
    <n v="82000"/>
    <n v="0"/>
    <x v="2"/>
    <m/>
    <m/>
    <m/>
    <m/>
  </r>
  <r>
    <m/>
    <s v="116-D-RAHZ-ESSALUD-2021"/>
    <x v="20"/>
    <s v="19.04.2021"/>
    <n v="1"/>
    <n v="0"/>
    <n v="99000"/>
    <n v="0"/>
    <x v="2"/>
    <m/>
    <m/>
    <m/>
    <m/>
  </r>
  <r>
    <m/>
    <s v="115-D-RAHZ-ESSALUD-2021"/>
    <x v="20"/>
    <s v="16.04.2021"/>
    <n v="1"/>
    <n v="0"/>
    <n v="153458"/>
    <n v="0"/>
    <x v="2"/>
    <m/>
    <m/>
    <m/>
    <m/>
  </r>
  <r>
    <m/>
    <s v="113-DRAAM-ESSALUD-2021"/>
    <x v="21"/>
    <s v="19.04.2021"/>
    <n v="1"/>
    <n v="0"/>
    <n v="380700"/>
    <n v="0"/>
    <x v="2"/>
    <m/>
    <m/>
    <m/>
    <m/>
  </r>
  <r>
    <n v="10"/>
    <s v="337-GRPA-ESSALUD-2021"/>
    <x v="22"/>
    <s v="15.04.2021"/>
    <n v="4"/>
    <n v="0"/>
    <n v="6219191.46"/>
    <n v="0"/>
    <x v="10"/>
    <n v="0"/>
    <m/>
    <s v="73va. Versión"/>
    <s v="21.04.2021"/>
  </r>
  <r>
    <m/>
    <s v="099-D-RATAR-ESSALUD-2021"/>
    <x v="23"/>
    <s v="07.04.2021"/>
    <n v="2"/>
    <n v="0"/>
    <n v="130372.68"/>
    <n v="0"/>
    <x v="2"/>
    <m/>
    <m/>
    <m/>
    <m/>
  </r>
  <r>
    <m/>
    <s v="125-D-RAUC-ESSALUD-2021"/>
    <x v="15"/>
    <s v="19.04.2021"/>
    <n v="1"/>
    <n v="0"/>
    <n v="2422828.08"/>
    <n v="0"/>
    <x v="2"/>
    <m/>
    <m/>
    <m/>
    <m/>
  </r>
  <r>
    <n v="11"/>
    <s v="230-GCL-ESSALUD-2021"/>
    <x v="0"/>
    <s v="21.04.2021"/>
    <n v="9"/>
    <n v="0"/>
    <n v="8365588.0599999996"/>
    <n v="0"/>
    <x v="11"/>
    <n v="0"/>
    <m/>
    <s v="74va. Versión"/>
    <s v="21.04.2021"/>
  </r>
  <r>
    <n v="12"/>
    <s v="193-CEABE-ESSALUD-2021"/>
    <x v="7"/>
    <s v="22.04.2021"/>
    <n v="11"/>
    <n v="1"/>
    <n v="27014208.390000001"/>
    <n v="41082680"/>
    <x v="12"/>
    <n v="42192786.5"/>
    <m/>
    <s v="75va. Versión"/>
    <s v="22.04.2021"/>
  </r>
  <r>
    <m/>
    <s v="260-GRPS-ESSALUD-2021"/>
    <x v="5"/>
    <s v="26.04.2021"/>
    <n v="2"/>
    <n v="0"/>
    <n v="1284101.1000000001"/>
    <n v="0"/>
    <x v="2"/>
    <m/>
    <m/>
    <m/>
    <m/>
  </r>
  <r>
    <m/>
    <s v="316-GRAAR-ESSALUD-2021"/>
    <x v="24"/>
    <s v="08.04.2021"/>
    <n v="8"/>
    <n v="0"/>
    <n v="6090865.8700000001"/>
    <n v="0"/>
    <x v="2"/>
    <m/>
    <m/>
    <m/>
    <m/>
  </r>
  <r>
    <m/>
    <s v="143-RAPA-ESSALUD-2021"/>
    <x v="2"/>
    <s v="15.04.2021"/>
    <n v="2"/>
    <n v="0"/>
    <n v="197209.8"/>
    <n v="0"/>
    <x v="2"/>
    <m/>
    <m/>
    <m/>
    <m/>
  </r>
  <r>
    <m/>
    <s v="102-D-RATAR-ESSALUD-2021"/>
    <x v="23"/>
    <s v="14.04.2021"/>
    <n v="1"/>
    <n v="0"/>
    <n v="305000"/>
    <n v="0"/>
    <x v="2"/>
    <m/>
    <m/>
    <m/>
    <m/>
  </r>
  <r>
    <m/>
    <s v="164-GRA-ICA-ESSALUD-2021"/>
    <x v="18"/>
    <s v="19.04.2021"/>
    <n v="4"/>
    <n v="0"/>
    <n v="1441814"/>
    <n v="0"/>
    <x v="2"/>
    <m/>
    <m/>
    <m/>
    <m/>
  </r>
  <r>
    <m/>
    <s v="110-D-RATAR-ESSALUD-2021"/>
    <x v="23"/>
    <s v="19.04.2021"/>
    <n v="3"/>
    <n v="0"/>
    <n v="3720205.65"/>
    <n v="0"/>
    <x v="2"/>
    <m/>
    <m/>
    <m/>
    <m/>
  </r>
  <r>
    <m/>
    <s v="169-DM-RACAJ-ESSALUD-2021"/>
    <x v="16"/>
    <s v="21.04.2021"/>
    <n v="2"/>
    <n v="0"/>
    <n v="204566.39999999999"/>
    <n v="0"/>
    <x v="2"/>
    <m/>
    <m/>
    <m/>
    <m/>
  </r>
  <r>
    <m/>
    <s v="183-GRACU-ESSALUD-2021"/>
    <x v="4"/>
    <s v="20.04.2021"/>
    <n v="1"/>
    <n v="0"/>
    <n v="913020"/>
    <n v="0"/>
    <x v="2"/>
    <m/>
    <m/>
    <m/>
    <m/>
  </r>
  <r>
    <m/>
    <s v="101-DIR-INCOR-ESSALUD-2021"/>
    <x v="14"/>
    <s v="22.04.2021"/>
    <n v="1"/>
    <n v="0"/>
    <n v="1632358"/>
    <n v="0"/>
    <x v="2"/>
    <m/>
    <m/>
    <m/>
    <m/>
  </r>
  <r>
    <m/>
    <s v="27-CNSR-ESSALUD-2021"/>
    <x v="25"/>
    <s v="22.04.2021"/>
    <n v="1"/>
    <n v="2"/>
    <n v="2633844"/>
    <n v="575000"/>
    <x v="2"/>
    <m/>
    <m/>
    <m/>
    <m/>
  </r>
  <r>
    <m/>
    <s v="148-GR-RAPI-ESSALUD-2021"/>
    <x v="26"/>
    <s v="23.04.2021"/>
    <n v="3"/>
    <n v="1"/>
    <n v="993861.87999999989"/>
    <n v="535106.5"/>
    <x v="2"/>
    <m/>
    <m/>
    <m/>
    <m/>
  </r>
  <r>
    <n v="13"/>
    <s v="261-GCL-ESSALUD-2021"/>
    <x v="0"/>
    <s v="27.04.2021"/>
    <n v="6"/>
    <n v="0"/>
    <n v="4298890.57"/>
    <n v="0"/>
    <x v="13"/>
    <n v="0"/>
    <m/>
    <s v="76va. Versión"/>
    <s v="27.04.2021"/>
  </r>
  <r>
    <n v="14"/>
    <s v="209-CEABE-ESSALUD-2021"/>
    <x v="7"/>
    <s v="29.04.2021"/>
    <n v="13"/>
    <n v="3"/>
    <n v="147981225.06"/>
    <n v="20781972.550000001"/>
    <x v="14"/>
    <n v="21781972.550000001"/>
    <m/>
    <s v="77va. Versión"/>
    <s v="29.04.2021"/>
  </r>
  <r>
    <m/>
    <s v="171-DM-RACAJ-ESSALUD-2021"/>
    <x v="16"/>
    <s v="27.04.2021"/>
    <n v="1"/>
    <n v="0"/>
    <n v="320250"/>
    <n v="0"/>
    <x v="2"/>
    <m/>
    <m/>
    <m/>
    <m/>
  </r>
  <r>
    <m/>
    <s v="181-GRA-ICA-ESSALUD-2021"/>
    <x v="18"/>
    <s v="26.04.2021"/>
    <n v="3"/>
    <n v="1"/>
    <n v="5641300"/>
    <n v="1000000"/>
    <x v="2"/>
    <m/>
    <m/>
    <m/>
    <m/>
  </r>
  <r>
    <n v="15"/>
    <s v="286-GRPR-ESSALUD-2021"/>
    <x v="13"/>
    <s v="03.05.2021"/>
    <n v="1"/>
    <n v="0"/>
    <n v="1402306.24"/>
    <n v="0"/>
    <x v="15"/>
    <n v="0"/>
    <m/>
    <s v="78va. Versión"/>
    <s v="03.05.2021"/>
  </r>
  <r>
    <n v="16"/>
    <s v="268-GRPR-ESSALUD-2021"/>
    <x v="13"/>
    <s v="28.04.2021"/>
    <n v="6"/>
    <n v="0"/>
    <n v="16562389.32"/>
    <n v="0"/>
    <x v="16"/>
    <n v="1160127"/>
    <m/>
    <s v="79va. Versión"/>
    <s v="30.04.2021"/>
  </r>
  <r>
    <m/>
    <s v="105-DIR-INCOR-ESSALUD-2021"/>
    <x v="14"/>
    <s v="30.04.2021"/>
    <n v="1"/>
    <n v="0"/>
    <n v="251709"/>
    <n v="0"/>
    <x v="2"/>
    <m/>
    <m/>
    <m/>
    <m/>
  </r>
  <r>
    <m/>
    <s v="204-GRACU-ESSALUD-2021"/>
    <x v="4"/>
    <s v="03.05.2021"/>
    <n v="1"/>
    <n v="0"/>
    <n v="998585.32"/>
    <n v="0"/>
    <x v="2"/>
    <m/>
    <m/>
    <m/>
    <m/>
  </r>
  <r>
    <m/>
    <s v="451-GRALA-JAV-ESSALUD-2021"/>
    <x v="6"/>
    <s v="27.04.2021"/>
    <n v="6"/>
    <n v="0"/>
    <n v="8554443.5300000012"/>
    <n v="0"/>
    <x v="2"/>
    <m/>
    <m/>
    <m/>
    <m/>
  </r>
  <r>
    <m/>
    <s v="450-GRALA-JAV-ESSALUD-2021"/>
    <x v="6"/>
    <s v="27.04.2021"/>
    <n v="3"/>
    <n v="0"/>
    <n v="787705.4"/>
    <n v="0"/>
    <x v="2"/>
    <m/>
    <m/>
    <m/>
    <m/>
  </r>
  <r>
    <m/>
    <s v="118-GRALO-ESSALUD-2021"/>
    <x v="19"/>
    <s v="30.04.2021"/>
    <n v="1"/>
    <n v="4"/>
    <n v="1324402.5"/>
    <n v="1160127"/>
    <x v="2"/>
    <m/>
    <m/>
    <m/>
    <m/>
  </r>
  <r>
    <m/>
    <s v="379-G-RALL-ESSALUD-2021"/>
    <x v="12"/>
    <s v="30.04.2021"/>
    <n v="16"/>
    <n v="0"/>
    <n v="3235747.6899999995"/>
    <n v="0"/>
    <x v="2"/>
    <m/>
    <m/>
    <m/>
    <m/>
  </r>
  <r>
    <m/>
    <s v="310-GRATA-ESSALUD-2021"/>
    <x v="11"/>
    <s v="28.04.2021"/>
    <n v="9"/>
    <n v="0"/>
    <n v="1767215.5799999998"/>
    <n v="0"/>
    <x v="2"/>
    <m/>
    <m/>
    <m/>
    <m/>
  </r>
  <r>
    <m/>
    <s v="78-D-RAHVCA-ESSALUD-2021"/>
    <x v="8"/>
    <s v="28.04.2021"/>
    <n v="1"/>
    <n v="0"/>
    <n v="241382.5"/>
    <n v="0"/>
    <x v="2"/>
    <m/>
    <m/>
    <m/>
    <m/>
  </r>
  <r>
    <n v="17"/>
    <s v="285-GCL-ESSALUD-2021"/>
    <x v="0"/>
    <s v="04.05.2021"/>
    <n v="6"/>
    <n v="0"/>
    <n v="12779787.23"/>
    <n v="0"/>
    <x v="17"/>
    <n v="0"/>
    <m/>
    <s v="80va. Versión"/>
    <s v="04.05.2021"/>
  </r>
  <r>
    <m/>
    <s v="459-GRALA-JAV-ESSALUD-2021"/>
    <x v="6"/>
    <s v="30.04.2021"/>
    <n v="8"/>
    <n v="0"/>
    <n v="4816570.59"/>
    <n v="0"/>
    <x v="2"/>
    <m/>
    <m/>
    <m/>
    <m/>
  </r>
  <r>
    <n v="18"/>
    <s v="223-CEABE-ESSALUD-2021"/>
    <x v="7"/>
    <s v="05.05.2021"/>
    <n v="18"/>
    <n v="0"/>
    <n v="25554182.780000001"/>
    <n v="0"/>
    <x v="18"/>
    <n v="0"/>
    <m/>
    <s v="81va. Versión"/>
    <s v="05.05.2021"/>
  </r>
  <r>
    <m/>
    <s v="55-DR-RATU-ESSALUD-2021"/>
    <x v="27"/>
    <s v="05.05.2021"/>
    <n v="1"/>
    <n v="0"/>
    <n v="2943000"/>
    <n v="0"/>
    <x v="2"/>
    <m/>
    <m/>
    <m/>
    <m/>
  </r>
  <r>
    <m/>
    <s v="125-D-RATAR-ESSALUD-2021"/>
    <x v="23"/>
    <s v="06.05.2021"/>
    <n v="1"/>
    <n v="0"/>
    <n v="523100"/>
    <n v="0"/>
    <x v="2"/>
    <m/>
    <m/>
    <m/>
    <m/>
  </r>
  <r>
    <n v="19"/>
    <s v="467-GRALA-JAV-ESSALUD-2021"/>
    <x v="6"/>
    <s v="06.05.2021"/>
    <n v="4"/>
    <n v="0"/>
    <n v="4035354.25"/>
    <n v="0"/>
    <x v="19"/>
    <n v="0"/>
    <m/>
    <s v="82va. Versión"/>
    <s v="06.05.2021"/>
  </r>
  <r>
    <n v="20"/>
    <s v="120-GRALO-ESSALUD-2021"/>
    <x v="19"/>
    <s v="04.05.2021"/>
    <n v="1"/>
    <n v="0"/>
    <n v="234682.62"/>
    <n v="0"/>
    <x v="20"/>
    <n v="0"/>
    <m/>
    <s v="83va. Versión"/>
    <s v="07.05.2021"/>
  </r>
  <r>
    <m/>
    <s v="393-G-RALL-ESSALUD-2021"/>
    <x v="12"/>
    <s v="07.05.2021"/>
    <n v="6"/>
    <n v="0"/>
    <n v="1065068.76"/>
    <n v="0"/>
    <x v="2"/>
    <m/>
    <m/>
    <m/>
    <m/>
  </r>
  <r>
    <m/>
    <s v="174-RAPA-ESSALUD-2021"/>
    <x v="2"/>
    <s v="06.05.2021"/>
    <n v="1"/>
    <n v="0"/>
    <n v="65624"/>
    <n v="0"/>
    <x v="2"/>
    <m/>
    <m/>
    <m/>
    <m/>
  </r>
  <r>
    <n v="21"/>
    <s v="310-GCL-ESSALUD-2021"/>
    <x v="0"/>
    <s v="07.05.2021"/>
    <n v="10"/>
    <n v="0"/>
    <n v="4289439.75"/>
    <n v="0"/>
    <x v="21"/>
    <n v="0"/>
    <m/>
    <s v="84va. Versión"/>
    <s v="07.05.2021"/>
  </r>
  <r>
    <n v="22"/>
    <s v="112-GRAPUNO-ESSALUD-2021"/>
    <x v="3"/>
    <s v="05.05.2021"/>
    <n v="4"/>
    <n v="0"/>
    <n v="168658.5"/>
    <n v="0"/>
    <x v="22"/>
    <n v="0"/>
    <m/>
    <s v="85va. Versión"/>
    <s v="11.05.2021"/>
  </r>
  <r>
    <m/>
    <s v="159-GRAAN-ESSLUD-2021"/>
    <x v="28"/>
    <s v="05.05.2021"/>
    <n v="1"/>
    <n v="0"/>
    <n v="472810"/>
    <n v="0"/>
    <x v="2"/>
    <m/>
    <m/>
    <m/>
    <m/>
  </r>
  <r>
    <n v="23"/>
    <s v="280-GRAJ-ESSALUD-2021"/>
    <x v="17"/>
    <s v="11.05.2021"/>
    <n v="2"/>
    <n v="0"/>
    <n v="359919"/>
    <n v="0"/>
    <x v="23"/>
    <n v="0"/>
    <m/>
    <s v="86va. Versión"/>
    <s v="11.05.2021"/>
  </r>
  <r>
    <n v="24"/>
    <s v="201-GRA-ICA-ESSALUD-2021"/>
    <x v="18"/>
    <s v="10.05.2021"/>
    <n v="1"/>
    <n v="0"/>
    <n v="79440"/>
    <n v="0"/>
    <x v="24"/>
    <n v="0"/>
    <m/>
    <s v="87va. Versión"/>
    <s v="13.05.2021"/>
  </r>
  <r>
    <m/>
    <s v="146-D-RAUC-ESSALUD-2021"/>
    <x v="15"/>
    <s v="11.05.2021"/>
    <n v="1"/>
    <n v="0"/>
    <n v="438500"/>
    <n v="0"/>
    <x v="2"/>
    <m/>
    <m/>
    <m/>
    <m/>
  </r>
  <r>
    <n v="25"/>
    <s v="330-GCL-ESSALUD-2021"/>
    <x v="0"/>
    <s v="12.05.2021"/>
    <n v="7"/>
    <n v="2"/>
    <n v="31915341.789999999"/>
    <n v="81000"/>
    <x v="25"/>
    <n v="81000"/>
    <m/>
    <s v="88va. Versión"/>
    <s v="13.05.2021"/>
  </r>
  <r>
    <n v="26"/>
    <s v="123-DRAAM-ESSALUD-2021"/>
    <x v="21"/>
    <s v="13.05.2021"/>
    <n v="5"/>
    <n v="0"/>
    <n v="3631043.66"/>
    <n v="0"/>
    <x v="26"/>
    <n v="0"/>
    <m/>
    <s v="89va. Versión"/>
    <s v="13.05.2021"/>
  </r>
  <r>
    <m/>
    <s v="38-CNSR-ESSALUD-2021"/>
    <x v="25"/>
    <s v="14.05.2021"/>
    <n v="1"/>
    <n v="0"/>
    <n v="2899050.34"/>
    <n v="0"/>
    <x v="2"/>
    <m/>
    <m/>
    <m/>
    <m/>
  </r>
  <r>
    <n v="27"/>
    <s v="160-D-RAUC-ESSALUD-2021"/>
    <x v="15"/>
    <s v="13.05.2021"/>
    <n v="1"/>
    <n v="0"/>
    <n v="388800"/>
    <n v="0"/>
    <x v="27"/>
    <n v="510918"/>
    <m/>
    <s v="90va. Versión"/>
    <s v="14.05.2021"/>
  </r>
  <r>
    <m/>
    <s v="292-GRPS-ESSALUD-2021"/>
    <x v="5"/>
    <s v="12.05.2021"/>
    <n v="8"/>
    <n v="0"/>
    <n v="3386740.8"/>
    <n v="0"/>
    <x v="2"/>
    <m/>
    <m/>
    <m/>
    <m/>
  </r>
  <r>
    <m/>
    <s v="190-DM-RACAJ-ESSALUD-2021"/>
    <x v="16"/>
    <s v="14.05.2021"/>
    <n v="1"/>
    <n v="0"/>
    <n v="704000"/>
    <n v="0"/>
    <x v="2"/>
    <m/>
    <m/>
    <m/>
    <m/>
  </r>
  <r>
    <m/>
    <s v="171-GR-RAPI-ESSALUD-2021"/>
    <x v="26"/>
    <s v="13.05.2021"/>
    <n v="6"/>
    <n v="0"/>
    <n v="2272564.16"/>
    <n v="0"/>
    <x v="2"/>
    <m/>
    <m/>
    <m/>
    <m/>
  </r>
  <r>
    <m/>
    <s v="157-D-RAHU-ESSALUD-2021"/>
    <x v="15"/>
    <s v="13.05.2021"/>
    <n v="0"/>
    <n v="10"/>
    <n v="0"/>
    <n v="510918"/>
    <x v="2"/>
    <m/>
    <m/>
    <m/>
    <m/>
  </r>
  <r>
    <n v="28"/>
    <s v="112-D-RAMOY-ESSALUD-2021"/>
    <x v="1"/>
    <s v="14.05.2021"/>
    <n v="4"/>
    <n v="0"/>
    <n v="1181394"/>
    <n v="0"/>
    <x v="28"/>
    <n v="0"/>
    <m/>
    <s v="91va. Versión"/>
    <s v="17.05.2021"/>
  </r>
  <r>
    <m/>
    <s v="189-D-RAHU-ESSALUD-2021"/>
    <x v="10"/>
    <s v="29.04.2021"/>
    <n v="3"/>
    <n v="0"/>
    <n v="688900"/>
    <n v="0"/>
    <x v="2"/>
    <m/>
    <m/>
    <m/>
    <m/>
  </r>
  <r>
    <n v="29"/>
    <s v="355-GCL-ESSALUD-2021"/>
    <x v="0"/>
    <s v="17.05.2021"/>
    <n v="14"/>
    <n v="0"/>
    <n v="4112848.2"/>
    <n v="0"/>
    <x v="29"/>
    <n v="0"/>
    <m/>
    <s v="92va. Versión"/>
    <s v="17.05.2021"/>
  </r>
  <r>
    <n v="30"/>
    <s v="397-GRPA-ESSALUD-2021"/>
    <x v="22"/>
    <s v="17.05.2021"/>
    <n v="5"/>
    <n v="0"/>
    <n v="6618429.3399999999"/>
    <n v="0"/>
    <x v="30"/>
    <n v="0"/>
    <m/>
    <s v="93va. Versión"/>
    <s v="17.05.2021"/>
  </r>
  <r>
    <n v="31"/>
    <s v="095-D-RAAY-ESSALUD-2021"/>
    <x v="29"/>
    <s v="19.05.2021"/>
    <n v="1"/>
    <n v="0"/>
    <n v="224760"/>
    <n v="0"/>
    <x v="31"/>
    <n v="479960"/>
    <m/>
    <s v="94va. Versión"/>
    <s v="17.05.2021"/>
  </r>
  <r>
    <m/>
    <s v="124-GRAPUNO-ESSALUD-2021"/>
    <x v="3"/>
    <s v="17.05.2021"/>
    <n v="2"/>
    <n v="2"/>
    <n v="237967.62"/>
    <n v="479960"/>
    <x v="2"/>
    <m/>
    <m/>
    <m/>
    <m/>
  </r>
  <r>
    <m/>
    <s v="170-GRAAN-ESSALUD-2021"/>
    <x v="28"/>
    <s v="19.05.2021"/>
    <n v="8"/>
    <n v="0"/>
    <n v="1867046.5"/>
    <n v="0"/>
    <x v="2"/>
    <m/>
    <m/>
    <m/>
    <m/>
  </r>
  <r>
    <m/>
    <s v="202-GRA-ICA-ESSALUD-2021"/>
    <x v="18"/>
    <s v="18.05.2021"/>
    <n v="1"/>
    <n v="0"/>
    <n v="385000"/>
    <n v="0"/>
    <x v="2"/>
    <m/>
    <m/>
    <m/>
    <m/>
  </r>
  <r>
    <n v="32"/>
    <s v="364-GCL-ESSALUD-2021"/>
    <x v="0"/>
    <s v="19.05.2021"/>
    <n v="5"/>
    <n v="0"/>
    <n v="4592658.17"/>
    <n v="0"/>
    <x v="32"/>
    <n v="0"/>
    <m/>
    <s v="95va. Versión"/>
    <s v="19.05.2021"/>
  </r>
  <r>
    <n v="33"/>
    <s v="252-CEABE-ESSALUD-2021"/>
    <x v="7"/>
    <s v="19.05.2021"/>
    <n v="31"/>
    <n v="1"/>
    <n v="73517730.620000005"/>
    <n v="15664882.65"/>
    <x v="33"/>
    <n v="15664882.65"/>
    <m/>
    <s v="96va. Versión"/>
    <s v="19.05.2021"/>
  </r>
  <r>
    <n v="34"/>
    <s v="240-GRACU-ESSALUD-2021"/>
    <x v="4"/>
    <s v="19.05.2021"/>
    <n v="1"/>
    <n v="0"/>
    <n v="229200"/>
    <n v="0"/>
    <x v="34"/>
    <n v="0"/>
    <m/>
    <s v="97va. Versión"/>
    <s v="19.05.2021"/>
  </r>
  <r>
    <m/>
    <s v="138-D-RATAR-ESSALUD-2021"/>
    <x v="23"/>
    <s v="19.05.2021"/>
    <n v="1"/>
    <n v="0"/>
    <n v="810048.26"/>
    <n v="0"/>
    <x v="2"/>
    <m/>
    <m/>
    <m/>
    <m/>
  </r>
  <r>
    <m/>
    <s v="175-DRMOQ-ESSALUD-2021"/>
    <x v="9"/>
    <s v="13.05.2021"/>
    <n v="4"/>
    <n v="0"/>
    <n v="1563419.52"/>
    <n v="0"/>
    <x v="2"/>
    <m/>
    <m/>
    <m/>
    <m/>
  </r>
  <r>
    <n v="35"/>
    <s v="136-GRALO-ESSALUD-2021"/>
    <x v="19"/>
    <s v="21.05.2021"/>
    <n v="1"/>
    <n v="0"/>
    <n v="77513"/>
    <n v="0"/>
    <x v="35"/>
    <n v="0"/>
    <m/>
    <s v="98va. Versión"/>
    <s v="21.05.2021"/>
  </r>
  <r>
    <m/>
    <s v="208-D-RAHU-ESSALUD-2021"/>
    <x v="10"/>
    <s v="18.05.2021"/>
    <n v="1"/>
    <n v="0"/>
    <n v="623868"/>
    <n v="0"/>
    <x v="2"/>
    <m/>
    <m/>
    <m/>
    <m/>
  </r>
  <r>
    <m/>
    <s v="308-GRPS-ESSALUD-2021"/>
    <x v="5"/>
    <s v="20.05.2021"/>
    <n v="2"/>
    <n v="0"/>
    <n v="3358879"/>
    <n v="0"/>
    <x v="2"/>
    <m/>
    <m/>
    <m/>
    <m/>
  </r>
  <r>
    <m/>
    <s v="110-D-RAAP-ESSALUD-2021"/>
    <x v="30"/>
    <s v="19.05.2021"/>
    <n v="3"/>
    <n v="0"/>
    <n v="241883"/>
    <n v="0"/>
    <x v="2"/>
    <m/>
    <m/>
    <m/>
    <m/>
  </r>
  <r>
    <m/>
    <s v="96-D-RAAY-ESSALUD-2021"/>
    <x v="29"/>
    <s v="20.05.2021"/>
    <n v="1"/>
    <n v="0"/>
    <n v="221460.08"/>
    <n v="0"/>
    <x v="2"/>
    <m/>
    <m/>
    <m/>
    <m/>
  </r>
  <r>
    <m/>
    <s v="235-GRACU-ESSALUD-2021"/>
    <x v="4"/>
    <s v="18.05.2021"/>
    <n v="1"/>
    <n v="0"/>
    <n v="698160"/>
    <n v="0"/>
    <x v="2"/>
    <m/>
    <m/>
    <m/>
    <m/>
  </r>
  <r>
    <m/>
    <s v="428-G-RALL-ESSALUD-2021"/>
    <x v="12"/>
    <s v="21.05.2021"/>
    <n v="2"/>
    <n v="0"/>
    <n v="331500"/>
    <n v="0"/>
    <x v="2"/>
    <m/>
    <m/>
    <m/>
    <m/>
  </r>
  <r>
    <n v="36"/>
    <s v="207-DM-RACAJ-ESSALUD-2021"/>
    <x v="16"/>
    <s v="25.05.2021"/>
    <n v="2"/>
    <n v="0"/>
    <n v="1750700.45"/>
    <n v="0"/>
    <x v="36"/>
    <n v="0"/>
    <m/>
    <s v="99va. Versión"/>
    <s v="24.05.2021"/>
  </r>
  <r>
    <m/>
    <s v="196-GR-RAPI-ESSALUD-2021"/>
    <x v="26"/>
    <s v="24.05.2021"/>
    <n v="2"/>
    <n v="0"/>
    <n v="1283511.76"/>
    <n v="0"/>
    <x v="2"/>
    <m/>
    <m/>
    <m/>
    <m/>
  </r>
  <r>
    <n v="37"/>
    <s v=" 392-GCL-ESSALUD-2021"/>
    <x v="0"/>
    <s v="26.05.2021"/>
    <n v="3"/>
    <n v="0"/>
    <n v="5114252.2"/>
    <n v="0"/>
    <x v="37"/>
    <n v="0"/>
    <m/>
    <s v="100va. Versión"/>
    <s v="26.05.2021"/>
  </r>
  <r>
    <n v="38"/>
    <s v="090-D-RAHVCA-ESSALUD-2021"/>
    <x v="8"/>
    <s v="26.05.2021"/>
    <n v="1"/>
    <n v="0"/>
    <n v="64929.59"/>
    <n v="0"/>
    <x v="38"/>
    <n v="0"/>
    <m/>
    <s v="101va. Versión"/>
    <s v="26.05.2021"/>
  </r>
  <r>
    <m/>
    <s v="210-D-RAHU-ESSALUD-2021"/>
    <x v="10"/>
    <s v="19.05.2021"/>
    <n v="1"/>
    <n v="0"/>
    <n v="385576.8"/>
    <n v="0"/>
    <x v="2"/>
    <m/>
    <m/>
    <m/>
    <m/>
  </r>
  <r>
    <m/>
    <s v="045-CNSR-ESSALUD-2021"/>
    <x v="25"/>
    <s v="26.05.2021"/>
    <n v="1"/>
    <n v="0"/>
    <n v="515236302.36000001"/>
    <n v="0"/>
    <x v="2"/>
    <m/>
    <m/>
    <m/>
    <m/>
  </r>
  <r>
    <m/>
    <s v="164-D-RAUC-ESSALUD-2021"/>
    <x v="15"/>
    <s v="26.05.2021"/>
    <n v="1"/>
    <n v="0"/>
    <n v="144768"/>
    <n v="0"/>
    <x v="2"/>
    <m/>
    <m/>
    <m/>
    <m/>
  </r>
  <r>
    <n v="39"/>
    <s v="119-D-RAMOY-ESSALUD-2021"/>
    <x v="1"/>
    <s v="25.05.2021"/>
    <n v="1"/>
    <n v="0"/>
    <n v="253300"/>
    <n v="0"/>
    <x v="39"/>
    <n v="0"/>
    <m/>
    <s v="102va. Versión"/>
    <s v="27.05.2021"/>
  </r>
  <r>
    <n v="40"/>
    <s v="137-DIR-INCOR-ESSALUD-2021"/>
    <x v="14"/>
    <s v="28.05.2021"/>
    <n v="3"/>
    <n v="0"/>
    <n v="3511419.76"/>
    <n v="0"/>
    <x v="40"/>
    <n v="878939.52"/>
    <m/>
    <s v="103va. Versión"/>
    <s v="27.05.2021"/>
  </r>
  <r>
    <m/>
    <s v="201-DRAMOQ-ESSALUD-2021"/>
    <x v="9"/>
    <s v="28.05.2021"/>
    <n v="2"/>
    <n v="1"/>
    <n v="534564.17000000004"/>
    <n v="878939.52"/>
    <x v="2"/>
    <m/>
    <m/>
    <m/>
    <m/>
  </r>
  <r>
    <m/>
    <s v="195-GRAJUL-ESSALUD-2021"/>
    <x v="31"/>
    <s v="27.05.2021"/>
    <n v="4"/>
    <n v="0"/>
    <n v="1066767.3999999999"/>
    <n v="0"/>
    <x v="2"/>
    <m/>
    <m/>
    <m/>
    <m/>
  </r>
  <r>
    <m/>
    <s v="221-GRA-ICA-ESSALUD-2021"/>
    <x v="18"/>
    <s v="26.05.2021"/>
    <n v="3"/>
    <n v="0"/>
    <n v="736724.98"/>
    <n v="0"/>
    <x v="2"/>
    <m/>
    <m/>
    <m/>
    <m/>
  </r>
  <r>
    <m/>
    <s v="447-G-RALL-ESSALUD-2021"/>
    <x v="12"/>
    <s v="28.05.2021"/>
    <n v="3"/>
    <n v="0"/>
    <n v="4780300"/>
    <n v="0"/>
    <x v="2"/>
    <m/>
    <m/>
    <m/>
    <m/>
  </r>
  <r>
    <n v="41"/>
    <s v="516-GRPL-ESSALUD-2021"/>
    <x v="6"/>
    <s v="27.05.2021"/>
    <n v="12"/>
    <n v="0"/>
    <n v="7243385.2400000002"/>
    <n v="0"/>
    <x v="41"/>
    <n v="0"/>
    <m/>
    <s v="104va. Versión"/>
    <s v="31.05.2021"/>
  </r>
  <r>
    <m/>
    <s v="220-GR-RAPI-ESSALUD-2021"/>
    <x v="26"/>
    <s v="31.05.2021"/>
    <n v="2"/>
    <n v="0"/>
    <n v="519000"/>
    <n v="0"/>
    <x v="2"/>
    <m/>
    <m/>
    <m/>
    <m/>
  </r>
  <r>
    <m/>
    <s v="155-D-RAHZ-ESSALUD-2021"/>
    <x v="20"/>
    <s v="28.05.2021"/>
    <n v="3"/>
    <n v="0"/>
    <n v="771244.89"/>
    <n v="0"/>
    <x v="2"/>
    <m/>
    <m/>
    <m/>
    <m/>
  </r>
  <r>
    <n v="42"/>
    <s v="468-GRPA-ESSALUD-2021"/>
    <x v="22"/>
    <s v="28.05.2021"/>
    <n v="2"/>
    <n v="0"/>
    <n v="11868122.52"/>
    <n v="0"/>
    <x v="42"/>
    <n v="0"/>
    <m/>
    <s v="105va. Versión"/>
    <s v="01.06.2021"/>
  </r>
  <r>
    <n v="43"/>
    <s v="287-CEABE-ESSALUD-2021"/>
    <x v="7"/>
    <s v="02.06.2021"/>
    <n v="23"/>
    <n v="0"/>
    <n v="78918894.299999997"/>
    <n v="0"/>
    <x v="43"/>
    <n v="0"/>
    <m/>
    <s v="106va. Versión"/>
    <s v="02.06.2021"/>
  </r>
  <r>
    <n v="44"/>
    <s v="315-GRAJ-ESSALUD-2021"/>
    <x v="17"/>
    <s v="03.06.2021"/>
    <n v="8"/>
    <n v="0"/>
    <n v="2232428.37"/>
    <n v="0"/>
    <x v="44"/>
    <n v="0"/>
    <m/>
    <s v="107va. Versión"/>
    <s v="03.06.2021"/>
  </r>
  <r>
    <m/>
    <s v="387-GRATA-ESSALUD-2021"/>
    <x v="11"/>
    <s v="03.06.2021"/>
    <n v="2"/>
    <n v="0"/>
    <n v="212478.36"/>
    <n v="0"/>
    <x v="2"/>
    <m/>
    <m/>
    <m/>
    <m/>
  </r>
  <r>
    <n v="45"/>
    <s v="487-GRPA-ESSALUD-2021"/>
    <x v="22"/>
    <s v="03.06.2021"/>
    <n v="6"/>
    <n v="0"/>
    <n v="13398694.27"/>
    <n v="0"/>
    <x v="45"/>
    <n v="0"/>
    <m/>
    <s v="108va. Versión"/>
    <s v="03.06.2021"/>
  </r>
  <r>
    <m/>
    <s v="337-GRPR-ESSALUD-2021"/>
    <x v="13"/>
    <s v="01.06.2021"/>
    <n v="8"/>
    <n v="0"/>
    <n v="3800745.1999999997"/>
    <n v="0"/>
    <x v="2"/>
    <m/>
    <m/>
    <m/>
    <m/>
  </r>
  <r>
    <m/>
    <s v="536-GRPL-ESSALUD-2021"/>
    <x v="6"/>
    <s v="03.06.2021"/>
    <n v="2"/>
    <n v="0"/>
    <n v="1252571.22"/>
    <n v="0"/>
    <x v="2"/>
    <m/>
    <m/>
    <m/>
    <m/>
  </r>
  <r>
    <n v="46"/>
    <s v="417-GCL-ESSALUD-2021"/>
    <x v="0"/>
    <s v="04.06.2021"/>
    <n v="3"/>
    <n v="0"/>
    <n v="671224.13"/>
    <n v="0"/>
    <x v="46"/>
    <n v="0"/>
    <m/>
    <s v="109va. Versión"/>
    <s v="04.06.2021"/>
  </r>
  <r>
    <n v="47"/>
    <s v="470-G-RALL-ESSALUD-2021"/>
    <x v="12"/>
    <s v="04.06.2021"/>
    <n v="6"/>
    <n v="0"/>
    <n v="1070787.54"/>
    <n v="0"/>
    <x v="47"/>
    <n v="0"/>
    <m/>
    <s v="110va. Versión"/>
    <s v="04.06.2021"/>
  </r>
  <r>
    <n v="48"/>
    <s v="144-GRALO-ESSALUD-2021"/>
    <x v="19"/>
    <s v="03.06.2021"/>
    <n v="1"/>
    <n v="0"/>
    <n v="49696.29"/>
    <n v="0"/>
    <x v="48"/>
    <n v="0"/>
    <m/>
    <s v="111va. Versión"/>
    <s v="07.06.2021"/>
  </r>
  <r>
    <m/>
    <s v="345-GRPR-ESSALUD-2021"/>
    <x v="13"/>
    <s v="07.06.2021"/>
    <n v="5"/>
    <n v="0"/>
    <n v="2098336"/>
    <n v="0"/>
    <x v="2"/>
    <m/>
    <m/>
    <m/>
    <m/>
  </r>
  <r>
    <n v="49"/>
    <s v="145-DIR-INCOR-ESSALUD-2021"/>
    <x v="14"/>
    <s v="11.06.2021"/>
    <n v="1"/>
    <n v="0"/>
    <n v="576000"/>
    <n v="0"/>
    <x v="49"/>
    <n v="7032500"/>
    <m/>
    <s v="112va. Versión"/>
    <s v="10.06.2021"/>
  </r>
  <r>
    <m/>
    <s v="214-DRAMOQ-ESSALUD-2021"/>
    <x v="9"/>
    <s v="10.06.2021"/>
    <n v="1"/>
    <n v="0"/>
    <n v="293280"/>
    <n v="0"/>
    <x v="2"/>
    <m/>
    <m/>
    <m/>
    <m/>
  </r>
  <r>
    <m/>
    <s v="053-CNSR-ESSALUD-2021"/>
    <x v="25"/>
    <s v="09.06.2021"/>
    <n v="1"/>
    <n v="0"/>
    <n v="112783.5"/>
    <n v="0"/>
    <x v="2"/>
    <m/>
    <m/>
    <m/>
    <m/>
  </r>
  <r>
    <m/>
    <s v="498-GRAAR-ESSALUD-2021"/>
    <x v="24"/>
    <s v="07.06.2021"/>
    <n v="7"/>
    <n v="0"/>
    <n v="2061273.67"/>
    <n v="0"/>
    <x v="2"/>
    <m/>
    <m/>
    <m/>
    <m/>
  </r>
  <r>
    <m/>
    <s v="562-GRPL-ESSALUD-2021"/>
    <x v="6"/>
    <s v="10.06.2021"/>
    <n v="4"/>
    <n v="1"/>
    <n v="3837964"/>
    <n v="7032500"/>
    <x v="2"/>
    <m/>
    <m/>
    <m/>
    <m/>
  </r>
  <r>
    <n v="50"/>
    <s v="476-G-RALL-ESSALUD-2021"/>
    <x v="12"/>
    <s v="11.06.2021"/>
    <n v="6"/>
    <n v="0"/>
    <n v="1746126.35"/>
    <n v="0"/>
    <x v="50"/>
    <n v="0"/>
    <m/>
    <s v="113va. Versión"/>
    <s v="11.06.2021"/>
  </r>
  <r>
    <m/>
    <s v="200-GRAAN-ESSALUD-2021"/>
    <x v="28"/>
    <s v="10.06.2021"/>
    <n v="2"/>
    <n v="0"/>
    <n v="397447.36"/>
    <n v="0"/>
    <x v="2"/>
    <m/>
    <m/>
    <m/>
    <m/>
  </r>
  <r>
    <m/>
    <s v="230-GR-RAPI-ESSALUD-2021"/>
    <x v="26"/>
    <s v="11.06.2021"/>
    <n v="4"/>
    <n v="0"/>
    <n v="485129.81"/>
    <n v="0"/>
    <x v="2"/>
    <m/>
    <m/>
    <m/>
    <m/>
  </r>
  <r>
    <n v="51"/>
    <s v="530-GRPA-ESSALUD-2021"/>
    <x v="22"/>
    <s v="11.06.2021"/>
    <n v="6"/>
    <n v="0"/>
    <n v="5306897.04"/>
    <n v="0"/>
    <x v="51"/>
    <n v="0"/>
    <m/>
    <s v="114va. Versión"/>
    <s v="11.06.2021"/>
  </r>
  <r>
    <n v="52"/>
    <s v="157-GRAPUNO-ESSALUD-2021"/>
    <x v="3"/>
    <s v="11.06.2021"/>
    <n v="1"/>
    <n v="0"/>
    <n v="399972.54"/>
    <n v="0"/>
    <x v="52"/>
    <n v="0"/>
    <m/>
    <s v="115va. Versión"/>
    <s v="11.06.2021"/>
  </r>
  <r>
    <m/>
    <s v="124-D-RAAP-ESSALUD-2021"/>
    <x v="30"/>
    <s v="11.06.2021"/>
    <n v="1"/>
    <n v="0"/>
    <n v="232000"/>
    <n v="0"/>
    <x v="2"/>
    <m/>
    <m/>
    <m/>
    <m/>
  </r>
  <r>
    <n v="53"/>
    <s v=" 439-GCL-ESSALUD-2021"/>
    <x v="0"/>
    <s v="14.06.2021"/>
    <n v="5"/>
    <n v="0"/>
    <n v="687000"/>
    <n v="0"/>
    <x v="53"/>
    <n v="0"/>
    <m/>
    <s v="116va. Versión"/>
    <s v="14.06.2021"/>
  </r>
  <r>
    <n v="54"/>
    <s v="275-GRACU-ESSALUD-2021"/>
    <x v="4"/>
    <s v="15.06.2021"/>
    <n v="1"/>
    <n v="0"/>
    <n v="2406377"/>
    <n v="0"/>
    <x v="54"/>
    <n v="0"/>
    <m/>
    <s v="117va. Versión"/>
    <s v="15.06.2021"/>
  </r>
  <r>
    <m/>
    <s v="118-D-RAAY-ESSALUD-2021"/>
    <x v="29"/>
    <s v="15.06.2021"/>
    <n v="2"/>
    <n v="0"/>
    <n v="278628.71999999997"/>
    <n v="0"/>
    <x v="2"/>
    <m/>
    <m/>
    <m/>
    <m/>
  </r>
  <r>
    <m/>
    <s v="267-GRACU-ESSALUD-2021"/>
    <x v="4"/>
    <s v="11.06.2021"/>
    <n v="1"/>
    <n v="0"/>
    <n v="980823.4"/>
    <n v="0"/>
    <x v="2"/>
    <m/>
    <m/>
    <m/>
    <m/>
  </r>
  <r>
    <m/>
    <s v="259-GRACU-ESSALUD-2021"/>
    <x v="4"/>
    <s v="09.06.2021"/>
    <n v="1"/>
    <n v="0"/>
    <n v="800000"/>
    <n v="0"/>
    <x v="2"/>
    <m/>
    <m/>
    <m/>
    <m/>
  </r>
  <r>
    <n v="55"/>
    <s v="322-CEABE-ESSALUD-2021"/>
    <x v="7"/>
    <s v="16.06.2021"/>
    <n v="22"/>
    <n v="0"/>
    <n v="54526697.039999999"/>
    <n v="0"/>
    <x v="55"/>
    <n v="0"/>
    <m/>
    <s v="118va. Versión"/>
    <s v="16.06.2021"/>
  </r>
  <r>
    <m/>
    <s v="149-GRALO-ESSALUD-2021"/>
    <x v="19"/>
    <s v="16.06.2021"/>
    <n v="1"/>
    <n v="0"/>
    <n v="61997.4"/>
    <n v="0"/>
    <x v="2"/>
    <m/>
    <m/>
    <m/>
    <m/>
  </r>
  <r>
    <n v="56"/>
    <s v="376-GRPS-ESSALUD-2021"/>
    <x v="5"/>
    <s v="15.06.2021"/>
    <n v="7"/>
    <n v="0"/>
    <n v="9305157.5299999993"/>
    <n v="0"/>
    <x v="56"/>
    <n v="0"/>
    <m/>
    <s v="119va. Versión"/>
    <s v="17.06.2021"/>
  </r>
  <r>
    <m/>
    <s v="279-GRACU-ESSALUD-2021"/>
    <x v="4"/>
    <s v="16.06.2021"/>
    <n v="1"/>
    <n v="0"/>
    <n v="698160"/>
    <n v="0"/>
    <x v="2"/>
    <m/>
    <m/>
    <m/>
    <m/>
  </r>
  <r>
    <n v="57"/>
    <s v="374-GRAJ-ESSALUD-2021"/>
    <x v="17"/>
    <s v="17.06.2021"/>
    <n v="2"/>
    <n v="0"/>
    <n v="1067510.6099999999"/>
    <n v="0"/>
    <x v="57"/>
    <n v="0"/>
    <m/>
    <s v="120va. Versión"/>
    <s v="17.06.2021"/>
  </r>
  <r>
    <m/>
    <s v="549-GRPA-ESSALUD-2021"/>
    <x v="22"/>
    <s v="17.06.2021"/>
    <n v="1"/>
    <n v="0"/>
    <n v="2877312"/>
    <n v="0"/>
    <x v="2"/>
    <m/>
    <m/>
    <m/>
    <m/>
  </r>
  <r>
    <n v="58"/>
    <s v="449-GCL-ESSALUD-2021"/>
    <x v="0"/>
    <s v="18.06.2021"/>
    <n v="9"/>
    <n v="0"/>
    <n v="6288134.2699999996"/>
    <n v="0"/>
    <x v="58"/>
    <n v="0"/>
    <m/>
    <s v="121va. Versión"/>
    <s v="18.06.2021"/>
  </r>
  <r>
    <n v="59"/>
    <s v="420-GRATA-ESSALUD-2021"/>
    <x v="11"/>
    <s v="17.06.2021"/>
    <n v="4"/>
    <n v="0"/>
    <n v="1288650.6000000001"/>
    <n v="0"/>
    <x v="59"/>
    <n v="0"/>
    <m/>
    <s v="122va. Versión"/>
    <s v="18.06.2021"/>
  </r>
  <r>
    <m/>
    <s v="542-GRPL-ESSALUD-2021"/>
    <x v="6"/>
    <s v="08.06.2021"/>
    <n v="14"/>
    <n v="0"/>
    <n v="10043228.49"/>
    <n v="0"/>
    <x v="2"/>
    <m/>
    <m/>
    <m/>
    <m/>
  </r>
  <r>
    <n v="60"/>
    <s v="457-GCL-ESSALUD-2021"/>
    <x v="0"/>
    <s v="21.06.2021"/>
    <n v="4"/>
    <n v="0"/>
    <n v="35433164.530000001"/>
    <n v="0"/>
    <x v="60"/>
    <n v="0"/>
    <m/>
    <s v="123va. Versión"/>
    <s v="21.06.2021"/>
  </r>
  <r>
    <n v="61"/>
    <s v="175-D-RAUC-ESSALUD-2021"/>
    <x v="15"/>
    <s v="18.06.2021"/>
    <n v="2"/>
    <n v="0"/>
    <n v="861397.64"/>
    <n v="0"/>
    <x v="61"/>
    <n v="0"/>
    <m/>
    <s v="124va. Versión"/>
    <s v="21.03.2021"/>
  </r>
  <r>
    <m/>
    <s v="154-GRALO-ESSALUD-2021"/>
    <x v="19"/>
    <s v="21.06.2021"/>
    <n v="1"/>
    <n v="0"/>
    <n v="60000"/>
    <n v="0"/>
    <x v="2"/>
    <m/>
    <m/>
    <m/>
    <m/>
  </r>
  <r>
    <m/>
    <s v="286-GRACU-ESSALUD-2021"/>
    <x v="4"/>
    <s v="18.06.2021"/>
    <n v="1"/>
    <n v="0"/>
    <n v="280000"/>
    <n v="0"/>
    <x v="2"/>
    <m/>
    <m/>
    <m/>
    <m/>
  </r>
  <r>
    <n v="62"/>
    <s v="387-GRPR-ESSALUD-2021"/>
    <x v="13"/>
    <s v="22.06.2021"/>
    <n v="7"/>
    <n v="0"/>
    <n v="4446024.84"/>
    <n v="0"/>
    <x v="62"/>
    <n v="0"/>
    <m/>
    <s v="125va. Versión"/>
    <s v="22.06.2021"/>
  </r>
  <r>
    <n v="63"/>
    <s v="248-RAPI-ESSALUD-2021"/>
    <x v="26"/>
    <s v="23.06.2021"/>
    <n v="1"/>
    <n v="0"/>
    <n v="153127.22"/>
    <n v="0"/>
    <x v="63"/>
    <n v="0"/>
    <m/>
    <s v="126va. Versión"/>
    <s v="23.06.2021"/>
  </r>
  <r>
    <n v="64"/>
    <s v="515-G-RALL-ESSALUD-2021"/>
    <x v="12"/>
    <s v="24.06.2021"/>
    <n v="9"/>
    <n v="0"/>
    <n v="2593777.77"/>
    <n v="0"/>
    <x v="64"/>
    <n v="0"/>
    <m/>
    <s v="127va. Versión"/>
    <s v="24.06.2021"/>
  </r>
  <r>
    <m/>
    <s v="149-DIR-INCOR-ESSALUD-2021"/>
    <x v="14"/>
    <s v="24.06.2021"/>
    <n v="2"/>
    <n v="0"/>
    <n v="336660"/>
    <n v="0"/>
    <x v="2"/>
    <m/>
    <m/>
    <m/>
    <m/>
  </r>
  <r>
    <n v="65"/>
    <s v="091-DR-RAMD-ESSALUD-2021"/>
    <x v="32"/>
    <s v="25.06.2021"/>
    <n v="3"/>
    <n v="4"/>
    <n v="701300"/>
    <n v="295000"/>
    <x v="65"/>
    <n v="295000"/>
    <m/>
    <s v="128va. Versión"/>
    <s v="25.06.2021"/>
  </r>
  <r>
    <m/>
    <s v="222-DM-RACAJ-ESSALUD-2021"/>
    <x v="16"/>
    <s v="25.06.2021"/>
    <n v="3"/>
    <n v="0"/>
    <n v="818478"/>
    <n v="0"/>
    <x v="2"/>
    <m/>
    <m/>
    <m/>
    <m/>
  </r>
  <r>
    <n v="66"/>
    <s v="438-GRATA-ESSALUD-2021"/>
    <x v="11"/>
    <s v="28.06.2021"/>
    <n v="6"/>
    <n v="1"/>
    <n v="1705732"/>
    <n v="281950"/>
    <x v="66"/>
    <n v="281950"/>
    <m/>
    <s v="129va. Versión"/>
    <s v="28.06.2021"/>
  </r>
  <r>
    <m/>
    <s v="177-D-RAUC-ESSALUD-2021"/>
    <x v="15"/>
    <s v="25.06.2021"/>
    <n v="1"/>
    <n v="0"/>
    <n v="134885"/>
    <n v="0"/>
    <x v="2"/>
    <m/>
    <m/>
    <m/>
    <m/>
  </r>
  <r>
    <m/>
    <s v="227-DRAMOQ-ESSALUD-2021"/>
    <x v="9"/>
    <s v="23.06.2021"/>
    <n v="1"/>
    <n v="0"/>
    <n v="115200"/>
    <n v="0"/>
    <x v="2"/>
    <m/>
    <m/>
    <m/>
    <m/>
  </r>
  <r>
    <n v="67"/>
    <s v="481-GCL-ESSALUD-2021"/>
    <x v="0"/>
    <s v="28.06.2021"/>
    <n v="6"/>
    <n v="0"/>
    <n v="67591071.75"/>
    <n v="0"/>
    <x v="67"/>
    <n v="0"/>
    <m/>
    <s v="130va. Versión"/>
    <s v="28.06.2021"/>
  </r>
  <r>
    <n v="68"/>
    <s v="125-D-RAAY-ESSALUD-2021"/>
    <x v="29"/>
    <s v="30.06.2021"/>
    <n v="0"/>
    <n v="1"/>
    <n v="0"/>
    <n v="270400"/>
    <x v="68"/>
    <n v="270400"/>
    <m/>
    <s v="131va. Versión"/>
    <s v="30.06.2021"/>
  </r>
  <r>
    <m/>
    <s v="167-D-RAMOY-ESSALUD-2021"/>
    <x v="1"/>
    <s v="28.06.2021"/>
    <n v="1"/>
    <n v="0"/>
    <n v="40792.9"/>
    <n v="0"/>
    <x v="2"/>
    <m/>
    <m/>
    <m/>
    <m/>
  </r>
  <r>
    <n v="69"/>
    <s v="482-GCL-ESSALUD-2021"/>
    <x v="0"/>
    <s v="30.06.2021"/>
    <n v="2"/>
    <n v="0"/>
    <n v="5370728.4000000004"/>
    <n v="0"/>
    <x v="69"/>
    <n v="0"/>
    <m/>
    <s v="132va. Versión"/>
    <s v="30.06.2021"/>
  </r>
  <r>
    <s v="TOTAL &gt;&gt;&gt;"/>
    <m/>
    <x v="33"/>
    <m/>
    <n v="689"/>
    <n v="42"/>
    <n v="1517189101.3500001"/>
    <n v="91660436.219999999"/>
    <x v="70"/>
    <n v="91660436.219999999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E38" firstHeaderRow="0" firstDataRow="1" firstDataCol="1"/>
  <pivotFields count="13">
    <pivotField showAll="0"/>
    <pivotField showAll="0"/>
    <pivotField axis="axisRow" showAll="0">
      <items count="35">
        <item x="7"/>
        <item x="25"/>
        <item x="0"/>
        <item x="14"/>
        <item x="21"/>
        <item x="28"/>
        <item x="30"/>
        <item x="24"/>
        <item x="29"/>
        <item x="16"/>
        <item x="4"/>
        <item x="8"/>
        <item x="10"/>
        <item x="20"/>
        <item x="18"/>
        <item x="31"/>
        <item x="17"/>
        <item x="12"/>
        <item x="6"/>
        <item x="19"/>
        <item x="32"/>
        <item x="9"/>
        <item x="1"/>
        <item x="2"/>
        <item x="26"/>
        <item x="3"/>
        <item x="11"/>
        <item x="23"/>
        <item x="27"/>
        <item x="15"/>
        <item x="22"/>
        <item x="13"/>
        <item x="5"/>
        <item x="33"/>
        <item t="default"/>
      </items>
    </pivotField>
    <pivotField showAll="0"/>
    <pivotField dataField="1" showAll="0"/>
    <pivotField dataField="1" showAll="0"/>
    <pivotField dataField="1" numFmtId="4" showAll="0"/>
    <pivotField dataField="1" showAll="0"/>
    <pivotField showAll="0">
      <items count="72">
        <item x="68"/>
        <item x="63"/>
        <item x="39"/>
        <item x="23"/>
        <item x="24"/>
        <item x="52"/>
        <item x="22"/>
        <item x="46"/>
        <item x="53"/>
        <item x="47"/>
        <item x="61"/>
        <item x="20"/>
        <item x="15"/>
        <item x="65"/>
        <item x="7"/>
        <item x="28"/>
        <item x="66"/>
        <item x="48"/>
        <item x="44"/>
        <item x="6"/>
        <item x="34"/>
        <item x="50"/>
        <item x="31"/>
        <item x="64"/>
        <item x="36"/>
        <item x="57"/>
        <item x="19"/>
        <item x="29"/>
        <item x="21"/>
        <item x="13"/>
        <item x="62"/>
        <item x="54"/>
        <item x="32"/>
        <item x="37"/>
        <item x="51"/>
        <item x="69"/>
        <item x="35"/>
        <item x="58"/>
        <item x="0"/>
        <item x="26"/>
        <item x="30"/>
        <item x="27"/>
        <item x="49"/>
        <item x="5"/>
        <item x="11"/>
        <item x="41"/>
        <item x="10"/>
        <item x="56"/>
        <item x="40"/>
        <item x="4"/>
        <item x="59"/>
        <item x="42"/>
        <item x="9"/>
        <item x="1"/>
        <item x="17"/>
        <item x="45"/>
        <item x="8"/>
        <item x="18"/>
        <item x="25"/>
        <item x="16"/>
        <item x="60"/>
        <item x="12"/>
        <item x="55"/>
        <item x="67"/>
        <item x="33"/>
        <item x="43"/>
        <item x="3"/>
        <item x="14"/>
        <item x="38"/>
        <item x="70"/>
        <item x="2"/>
        <item t="default"/>
      </items>
    </pivotField>
    <pivotField showAll="0"/>
    <pivotField showAll="0"/>
    <pivotField showAll="0"/>
    <pivotField showAll="0"/>
  </pivotFields>
  <rowFields count="1">
    <field x="2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de Total Incluido_x000a_por Red_x000a_Soles_x000a_S/." fld="6" baseField="0" baseItem="0" numFmtId="4"/>
    <dataField name="Suma de Número total de procesos incluidos" fld="4" baseField="0" baseItem="0"/>
    <dataField name="Suma de Total Excluido_x000a_por Red_x000a_Soles_x000a_S/." fld="7" baseField="0" baseItem="0" numFmtId="4"/>
    <dataField name="Suma de  Número total de procesos excluidos" fld="5" baseField="0" baseItem="0"/>
  </dataFields>
  <formats count="19">
    <format dxfId="18">
      <pivotArea field="2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5">
      <pivotArea outline="0" fieldPosition="0">
        <references count="1">
          <reference field="4294967294" count="1">
            <x v="0"/>
          </reference>
        </references>
      </pivotArea>
    </format>
    <format dxfId="14">
      <pivotArea collapsedLevelsAreSubtotals="1" fieldPosition="0">
        <references count="2">
          <reference field="4294967294" count="1" selected="0">
            <x v="0"/>
          </reference>
          <reference field="2" count="1">
            <x v="33"/>
          </reference>
        </references>
      </pivotArea>
    </format>
    <format dxfId="13">
      <pivotArea collapsedLevelsAreSubtotals="1" fieldPosition="0">
        <references count="2">
          <reference field="4294967294" count="1" selected="0">
            <x v="0"/>
          </reference>
          <reference field="2" count="1">
            <x v="33"/>
          </reference>
        </references>
      </pivotArea>
    </format>
    <format dxfId="12">
      <pivotArea outline="0" fieldPosition="0">
        <references count="1">
          <reference field="4294967294" count="1">
            <x v="2"/>
          </reference>
        </references>
      </pivotArea>
    </format>
    <format dxfId="11">
      <pivotArea collapsedLevelsAreSubtotals="1" fieldPosition="0">
        <references count="2">
          <reference field="4294967294" count="1" selected="0">
            <x v="2"/>
          </reference>
          <reference field="2" count="1">
            <x v="33"/>
          </reference>
        </references>
      </pivotArea>
    </format>
    <format dxfId="10">
      <pivotArea collapsedLevelsAreSubtotals="1" fieldPosition="0">
        <references count="2">
          <reference field="4294967294" count="1" selected="0">
            <x v="1"/>
          </reference>
          <reference field="2" count="1">
            <x v="33"/>
          </reference>
        </references>
      </pivotArea>
    </format>
    <format dxfId="9">
      <pivotArea collapsedLevelsAreSubtotals="1" fieldPosition="0">
        <references count="2">
          <reference field="4294967294" count="1" selected="0">
            <x v="1"/>
          </reference>
          <reference field="2" count="1">
            <x v="33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1"/>
          </reference>
          <reference field="2" count="1">
            <x v="33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3"/>
          </reference>
          <reference field="2" count="1">
            <x v="33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grandRow="1" outline="0" collapsedLevelsAreSubtotals="1" fieldPosition="0"/>
    </format>
    <format dxfId="3">
      <pivotArea dataOnly="0" labelOnly="1" grandRow="1" outline="0" fieldPosition="0"/>
    </format>
    <format dxfId="2">
      <pivotArea dataOnly="0" labelOnly="1" fieldPosition="0">
        <references count="1">
          <reference field="2" count="1">
            <x v="33"/>
          </reference>
        </references>
      </pivotArea>
    </format>
    <format dxfId="1">
      <pivotArea dataOnly="0" labelOnly="1" fieldPosition="0">
        <references count="1">
          <reference field="2" count="1">
            <x v="33"/>
          </reference>
        </references>
      </pivotArea>
    </format>
    <format dxfId="0">
      <pivotArea dataOnly="0" labelOnly="1" fieldPosition="0">
        <references count="1">
          <reference field="2" count="1">
            <x v="3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2"/>
  <sheetViews>
    <sheetView topLeftCell="A184" zoomScale="90" zoomScaleNormal="90" workbookViewId="0">
      <selection sqref="A1:M186"/>
    </sheetView>
  </sheetViews>
  <sheetFormatPr baseColWidth="10" defaultRowHeight="15" x14ac:dyDescent="0.25"/>
  <cols>
    <col min="1" max="1" width="4.7109375" customWidth="1"/>
    <col min="2" max="2" width="35.140625" style="1" customWidth="1"/>
    <col min="3" max="3" width="50.28515625" style="1" customWidth="1"/>
    <col min="4" max="4" width="10.7109375" style="1" bestFit="1" customWidth="1"/>
    <col min="5" max="5" width="10.85546875" style="4" customWidth="1"/>
    <col min="6" max="6" width="10" style="4" customWidth="1"/>
    <col min="7" max="7" width="19.140625" style="4" bestFit="1" customWidth="1"/>
    <col min="8" max="8" width="17.28515625" style="4" bestFit="1" customWidth="1"/>
    <col min="9" max="9" width="19.140625" style="34" bestFit="1" customWidth="1"/>
    <col min="10" max="10" width="17.28515625" style="34" bestFit="1" customWidth="1"/>
    <col min="11" max="11" width="13.85546875" style="1" hidden="1" customWidth="1"/>
    <col min="12" max="12" width="14.5703125" style="1" customWidth="1"/>
    <col min="13" max="13" width="13.28515625" style="1" bestFit="1" customWidth="1"/>
    <col min="14" max="14" width="15.42578125" style="1" customWidth="1"/>
    <col min="15" max="15" width="29.85546875" customWidth="1"/>
    <col min="16" max="16" width="17" customWidth="1"/>
    <col min="17" max="17" width="13.5703125" bestFit="1" customWidth="1"/>
    <col min="20" max="20" width="11" bestFit="1" customWidth="1"/>
  </cols>
  <sheetData>
    <row r="1" spans="1:15" ht="64.5" customHeight="1" x14ac:dyDescent="0.25">
      <c r="A1" s="284" t="s">
        <v>378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</row>
    <row r="2" spans="1:15" ht="16.5" thickBot="1" x14ac:dyDescent="0.35">
      <c r="B2" s="6"/>
      <c r="C2" s="5"/>
      <c r="D2" s="4"/>
      <c r="E2" s="7"/>
      <c r="F2" s="7"/>
      <c r="G2" s="7"/>
      <c r="H2" s="7"/>
      <c r="I2" s="8"/>
      <c r="J2" s="8"/>
      <c r="K2" s="7"/>
      <c r="L2" s="9"/>
      <c r="M2" s="4"/>
      <c r="N2" s="4"/>
    </row>
    <row r="3" spans="1:15" s="2" customFormat="1" ht="60.75" thickBot="1" x14ac:dyDescent="0.3">
      <c r="A3" s="40" t="s">
        <v>7</v>
      </c>
      <c r="B3" s="40" t="s">
        <v>0</v>
      </c>
      <c r="C3" s="40" t="s">
        <v>1</v>
      </c>
      <c r="D3" s="40" t="s">
        <v>9</v>
      </c>
      <c r="E3" s="40" t="s">
        <v>2</v>
      </c>
      <c r="F3" s="41" t="s">
        <v>3</v>
      </c>
      <c r="G3" s="87" t="s">
        <v>44</v>
      </c>
      <c r="H3" s="87" t="s">
        <v>45</v>
      </c>
      <c r="I3" s="42" t="s">
        <v>5</v>
      </c>
      <c r="J3" s="41" t="s">
        <v>8</v>
      </c>
      <c r="K3" s="42" t="s">
        <v>4</v>
      </c>
      <c r="L3" s="40" t="s">
        <v>6</v>
      </c>
      <c r="M3" s="43" t="s">
        <v>10</v>
      </c>
    </row>
    <row r="4" spans="1:15" ht="20.100000000000001" customHeight="1" thickBot="1" x14ac:dyDescent="0.3">
      <c r="A4" s="118">
        <v>1</v>
      </c>
      <c r="B4" s="68" t="s">
        <v>60</v>
      </c>
      <c r="C4" s="57" t="s">
        <v>12</v>
      </c>
      <c r="D4" s="58" t="s">
        <v>62</v>
      </c>
      <c r="E4" s="134">
        <v>10</v>
      </c>
      <c r="F4" s="134">
        <v>6</v>
      </c>
      <c r="G4" s="137">
        <v>6301268.9500000002</v>
      </c>
      <c r="H4" s="137">
        <v>550000</v>
      </c>
      <c r="I4" s="137">
        <v>6301268.9500000002</v>
      </c>
      <c r="J4" s="137">
        <v>550000</v>
      </c>
      <c r="K4" s="119"/>
      <c r="L4" s="119" t="s">
        <v>61</v>
      </c>
      <c r="M4" s="125" t="s">
        <v>62</v>
      </c>
      <c r="N4" s="4"/>
      <c r="O4" s="17"/>
    </row>
    <row r="5" spans="1:15" ht="20.100000000000001" customHeight="1" thickBot="1" x14ac:dyDescent="0.3">
      <c r="A5" s="243">
        <v>2</v>
      </c>
      <c r="B5" s="126" t="s">
        <v>178</v>
      </c>
      <c r="C5" s="23" t="s">
        <v>179</v>
      </c>
      <c r="D5" s="36" t="s">
        <v>52</v>
      </c>
      <c r="E5" s="139">
        <v>1</v>
      </c>
      <c r="F5" s="139">
        <v>0</v>
      </c>
      <c r="G5" s="144">
        <v>72000</v>
      </c>
      <c r="H5" s="144">
        <v>0</v>
      </c>
      <c r="I5" s="252">
        <v>16975887.75</v>
      </c>
      <c r="J5" s="252">
        <v>480000</v>
      </c>
      <c r="K5" s="21"/>
      <c r="L5" s="264" t="s">
        <v>63</v>
      </c>
      <c r="M5" s="262" t="s">
        <v>64</v>
      </c>
      <c r="N5" s="4"/>
      <c r="O5" s="17"/>
    </row>
    <row r="6" spans="1:15" ht="20.100000000000001" customHeight="1" x14ac:dyDescent="0.25">
      <c r="A6" s="244"/>
      <c r="B6" s="124" t="s">
        <v>180</v>
      </c>
      <c r="C6" s="22" t="s">
        <v>29</v>
      </c>
      <c r="D6" s="37" t="s">
        <v>64</v>
      </c>
      <c r="E6" s="143">
        <v>3</v>
      </c>
      <c r="F6" s="143">
        <v>0</v>
      </c>
      <c r="G6" s="145">
        <f>213038.13+44215+132300</f>
        <v>389553.13</v>
      </c>
      <c r="H6" s="145">
        <v>0</v>
      </c>
      <c r="I6" s="253"/>
      <c r="J6" s="253"/>
      <c r="K6" s="122"/>
      <c r="L6" s="265"/>
      <c r="M6" s="263"/>
      <c r="N6" s="4"/>
      <c r="O6" s="17"/>
    </row>
    <row r="7" spans="1:15" ht="20.100000000000001" customHeight="1" x14ac:dyDescent="0.25">
      <c r="A7" s="244"/>
      <c r="B7" s="124" t="s">
        <v>181</v>
      </c>
      <c r="C7" s="22" t="s">
        <v>27</v>
      </c>
      <c r="D7" s="37" t="s">
        <v>53</v>
      </c>
      <c r="E7" s="143">
        <v>1</v>
      </c>
      <c r="F7" s="143">
        <v>1</v>
      </c>
      <c r="G7" s="145">
        <v>204986.3</v>
      </c>
      <c r="H7" s="145">
        <v>480000</v>
      </c>
      <c r="I7" s="253"/>
      <c r="J7" s="253"/>
      <c r="K7" s="122"/>
      <c r="L7" s="265"/>
      <c r="M7" s="263"/>
      <c r="N7" s="95"/>
      <c r="O7" s="17"/>
    </row>
    <row r="8" spans="1:15" ht="20.100000000000001" customHeight="1" x14ac:dyDescent="0.25">
      <c r="A8" s="244"/>
      <c r="B8" s="124" t="s">
        <v>182</v>
      </c>
      <c r="C8" s="22" t="s">
        <v>27</v>
      </c>
      <c r="D8" s="37" t="s">
        <v>53</v>
      </c>
      <c r="E8" s="143">
        <v>1</v>
      </c>
      <c r="F8" s="143">
        <v>0</v>
      </c>
      <c r="G8" s="145">
        <v>455558.28</v>
      </c>
      <c r="H8" s="145">
        <v>0</v>
      </c>
      <c r="I8" s="253"/>
      <c r="J8" s="253"/>
      <c r="K8" s="122"/>
      <c r="L8" s="265"/>
      <c r="M8" s="263"/>
      <c r="N8" s="4"/>
      <c r="O8" s="17"/>
    </row>
    <row r="9" spans="1:15" ht="20.100000000000001" customHeight="1" x14ac:dyDescent="0.25">
      <c r="A9" s="244"/>
      <c r="B9" s="124" t="s">
        <v>183</v>
      </c>
      <c r="C9" s="22" t="s">
        <v>27</v>
      </c>
      <c r="D9" s="37" t="s">
        <v>53</v>
      </c>
      <c r="E9" s="143">
        <v>1</v>
      </c>
      <c r="F9" s="143">
        <v>0</v>
      </c>
      <c r="G9" s="145">
        <v>39813.79</v>
      </c>
      <c r="H9" s="145">
        <v>0</v>
      </c>
      <c r="I9" s="253"/>
      <c r="J9" s="253"/>
      <c r="K9" s="122"/>
      <c r="L9" s="265"/>
      <c r="M9" s="263"/>
      <c r="N9" s="4"/>
      <c r="O9" s="17"/>
    </row>
    <row r="10" spans="1:15" ht="20.100000000000001" customHeight="1" x14ac:dyDescent="0.25">
      <c r="A10" s="244"/>
      <c r="B10" s="124" t="s">
        <v>184</v>
      </c>
      <c r="C10" s="22" t="s">
        <v>32</v>
      </c>
      <c r="D10" s="37" t="s">
        <v>62</v>
      </c>
      <c r="E10" s="143">
        <v>1</v>
      </c>
      <c r="F10" s="143">
        <v>0</v>
      </c>
      <c r="G10" s="145">
        <v>64950.73</v>
      </c>
      <c r="H10" s="145">
        <v>0</v>
      </c>
      <c r="I10" s="253"/>
      <c r="J10" s="253"/>
      <c r="K10" s="122"/>
      <c r="L10" s="265"/>
      <c r="M10" s="263"/>
      <c r="N10" s="4"/>
      <c r="O10" s="17"/>
    </row>
    <row r="11" spans="1:15" ht="20.100000000000001" customHeight="1" x14ac:dyDescent="0.25">
      <c r="A11" s="244"/>
      <c r="B11" s="124" t="s">
        <v>185</v>
      </c>
      <c r="C11" s="22" t="s">
        <v>32</v>
      </c>
      <c r="D11" s="37" t="s">
        <v>62</v>
      </c>
      <c r="E11" s="143">
        <v>1</v>
      </c>
      <c r="F11" s="143">
        <v>0</v>
      </c>
      <c r="G11" s="145">
        <v>67310</v>
      </c>
      <c r="H11" s="145">
        <v>0</v>
      </c>
      <c r="I11" s="253"/>
      <c r="J11" s="253"/>
      <c r="K11" s="122"/>
      <c r="L11" s="265"/>
      <c r="M11" s="263"/>
      <c r="N11" s="4"/>
      <c r="O11" s="17"/>
    </row>
    <row r="12" spans="1:15" ht="20.100000000000001" customHeight="1" x14ac:dyDescent="0.25">
      <c r="A12" s="244"/>
      <c r="B12" s="124" t="s">
        <v>186</v>
      </c>
      <c r="C12" s="22" t="s">
        <v>32</v>
      </c>
      <c r="D12" s="37" t="s">
        <v>62</v>
      </c>
      <c r="E12" s="143">
        <v>1</v>
      </c>
      <c r="F12" s="143">
        <v>0</v>
      </c>
      <c r="G12" s="145">
        <v>52200</v>
      </c>
      <c r="H12" s="145">
        <v>0</v>
      </c>
      <c r="I12" s="253"/>
      <c r="J12" s="253"/>
      <c r="K12" s="122"/>
      <c r="L12" s="265"/>
      <c r="M12" s="263"/>
      <c r="N12" s="4"/>
      <c r="O12" s="17"/>
    </row>
    <row r="13" spans="1:15" ht="20.100000000000001" customHeight="1" x14ac:dyDescent="0.25">
      <c r="A13" s="244"/>
      <c r="B13" s="124" t="s">
        <v>187</v>
      </c>
      <c r="C13" s="22" t="s">
        <v>57</v>
      </c>
      <c r="D13" s="37" t="s">
        <v>53</v>
      </c>
      <c r="E13" s="143">
        <v>8</v>
      </c>
      <c r="F13" s="143">
        <v>0</v>
      </c>
      <c r="G13" s="145">
        <f>7530120+134400+129972+617235.96+1541910.86+374400+1820916.05+392050</f>
        <v>12541004.870000001</v>
      </c>
      <c r="H13" s="145">
        <v>0</v>
      </c>
      <c r="I13" s="253"/>
      <c r="J13" s="253"/>
      <c r="K13" s="122"/>
      <c r="L13" s="265"/>
      <c r="M13" s="263"/>
      <c r="N13" s="4"/>
      <c r="O13" s="17"/>
    </row>
    <row r="14" spans="1:15" ht="20.100000000000001" customHeight="1" x14ac:dyDescent="0.25">
      <c r="A14" s="244"/>
      <c r="B14" s="124" t="s">
        <v>188</v>
      </c>
      <c r="C14" s="22" t="s">
        <v>11</v>
      </c>
      <c r="D14" s="37" t="s">
        <v>53</v>
      </c>
      <c r="E14" s="143">
        <v>6</v>
      </c>
      <c r="F14" s="143">
        <v>0</v>
      </c>
      <c r="G14" s="145">
        <f>52069.32+256000+256000+510000+39480+477600</f>
        <v>1591149.32</v>
      </c>
      <c r="H14" s="145">
        <v>0</v>
      </c>
      <c r="I14" s="253"/>
      <c r="J14" s="253"/>
      <c r="K14" s="122"/>
      <c r="L14" s="265"/>
      <c r="M14" s="263"/>
      <c r="N14" s="4"/>
      <c r="O14" s="17"/>
    </row>
    <row r="15" spans="1:15" ht="20.100000000000001" customHeight="1" thickBot="1" x14ac:dyDescent="0.3">
      <c r="A15" s="245"/>
      <c r="B15" s="127" t="s">
        <v>189</v>
      </c>
      <c r="C15" s="24" t="s">
        <v>11</v>
      </c>
      <c r="D15" s="38" t="s">
        <v>53</v>
      </c>
      <c r="E15" s="142">
        <v>6</v>
      </c>
      <c r="F15" s="142">
        <v>0</v>
      </c>
      <c r="G15" s="146">
        <f>292000+214668+39000+380000+345000+226693.33</f>
        <v>1497361.33</v>
      </c>
      <c r="H15" s="146">
        <v>0</v>
      </c>
      <c r="I15" s="254"/>
      <c r="J15" s="254"/>
      <c r="K15" s="120"/>
      <c r="L15" s="269"/>
      <c r="M15" s="270"/>
      <c r="N15" s="4"/>
      <c r="O15" s="17"/>
    </row>
    <row r="16" spans="1:15" ht="20.100000000000001" customHeight="1" thickBot="1" x14ac:dyDescent="0.3">
      <c r="A16" s="85">
        <v>3</v>
      </c>
      <c r="B16" s="123" t="s">
        <v>65</v>
      </c>
      <c r="C16" s="54" t="s">
        <v>22</v>
      </c>
      <c r="D16" s="55" t="s">
        <v>62</v>
      </c>
      <c r="E16" s="135">
        <v>11</v>
      </c>
      <c r="F16" s="135">
        <v>0</v>
      </c>
      <c r="G16" s="91">
        <v>87004239.379999995</v>
      </c>
      <c r="H16" s="91">
        <v>0</v>
      </c>
      <c r="I16" s="91">
        <v>87004239.379999995</v>
      </c>
      <c r="J16" s="91">
        <v>0</v>
      </c>
      <c r="K16" s="122"/>
      <c r="L16" s="119" t="s">
        <v>66</v>
      </c>
      <c r="M16" s="125" t="s">
        <v>62</v>
      </c>
      <c r="N16" s="95"/>
      <c r="O16" s="17"/>
    </row>
    <row r="17" spans="1:15" ht="22.5" customHeight="1" thickBot="1" x14ac:dyDescent="0.3">
      <c r="A17" s="241">
        <v>4</v>
      </c>
      <c r="B17" s="130" t="s">
        <v>190</v>
      </c>
      <c r="C17" s="23" t="s">
        <v>54</v>
      </c>
      <c r="D17" s="36" t="s">
        <v>68</v>
      </c>
      <c r="E17" s="139">
        <v>3</v>
      </c>
      <c r="F17" s="139">
        <v>0</v>
      </c>
      <c r="G17" s="144">
        <f>125450+299000+59250</f>
        <v>483700</v>
      </c>
      <c r="H17" s="93">
        <v>0</v>
      </c>
      <c r="I17" s="260">
        <v>11287424.630000001</v>
      </c>
      <c r="J17" s="273">
        <v>0</v>
      </c>
      <c r="K17" s="21"/>
      <c r="L17" s="264" t="s">
        <v>67</v>
      </c>
      <c r="M17" s="262" t="s">
        <v>68</v>
      </c>
      <c r="N17" s="4"/>
      <c r="O17" s="17"/>
    </row>
    <row r="18" spans="1:15" ht="22.5" customHeight="1" x14ac:dyDescent="0.25">
      <c r="A18" s="267"/>
      <c r="B18" s="129" t="s">
        <v>191</v>
      </c>
      <c r="C18" s="22" t="s">
        <v>18</v>
      </c>
      <c r="D18" s="37" t="s">
        <v>192</v>
      </c>
      <c r="E18" s="143">
        <v>2</v>
      </c>
      <c r="F18" s="143">
        <v>0</v>
      </c>
      <c r="G18" s="145">
        <f>135150+168487.5</f>
        <v>303637.5</v>
      </c>
      <c r="H18" s="94">
        <v>0</v>
      </c>
      <c r="I18" s="261"/>
      <c r="J18" s="274"/>
      <c r="K18" s="122"/>
      <c r="L18" s="265"/>
      <c r="M18" s="263"/>
      <c r="N18" s="4"/>
      <c r="O18" s="17"/>
    </row>
    <row r="19" spans="1:15" ht="22.5" customHeight="1" x14ac:dyDescent="0.25">
      <c r="A19" s="267"/>
      <c r="B19" s="129" t="s">
        <v>193</v>
      </c>
      <c r="C19" s="22" t="s">
        <v>51</v>
      </c>
      <c r="D19" s="37" t="s">
        <v>194</v>
      </c>
      <c r="E19" s="143">
        <v>2</v>
      </c>
      <c r="F19" s="143">
        <v>0</v>
      </c>
      <c r="G19" s="145">
        <f>490680+108324</f>
        <v>599004</v>
      </c>
      <c r="H19" s="94">
        <v>0</v>
      </c>
      <c r="I19" s="261"/>
      <c r="J19" s="274"/>
      <c r="K19" s="122"/>
      <c r="L19" s="265"/>
      <c r="M19" s="263"/>
      <c r="N19" s="4"/>
      <c r="O19" s="17"/>
    </row>
    <row r="20" spans="1:15" ht="22.5" customHeight="1" x14ac:dyDescent="0.25">
      <c r="A20" s="267"/>
      <c r="B20" s="129" t="s">
        <v>196</v>
      </c>
      <c r="C20" s="22" t="s">
        <v>32</v>
      </c>
      <c r="D20" s="37" t="s">
        <v>62</v>
      </c>
      <c r="E20" s="143">
        <v>1</v>
      </c>
      <c r="F20" s="143">
        <v>0</v>
      </c>
      <c r="G20" s="145">
        <v>130000</v>
      </c>
      <c r="H20" s="94">
        <v>0</v>
      </c>
      <c r="I20" s="261"/>
      <c r="J20" s="274"/>
      <c r="K20" s="122"/>
      <c r="L20" s="265"/>
      <c r="M20" s="263"/>
      <c r="N20" s="95"/>
      <c r="O20" s="17"/>
    </row>
    <row r="21" spans="1:15" ht="22.5" customHeight="1" x14ac:dyDescent="0.25">
      <c r="A21" s="267"/>
      <c r="B21" s="129" t="s">
        <v>195</v>
      </c>
      <c r="C21" s="22" t="s">
        <v>32</v>
      </c>
      <c r="D21" s="37" t="s">
        <v>192</v>
      </c>
      <c r="E21" s="143">
        <v>1</v>
      </c>
      <c r="F21" s="143">
        <v>0</v>
      </c>
      <c r="G21" s="145">
        <v>388801.07</v>
      </c>
      <c r="H21" s="94">
        <v>0</v>
      </c>
      <c r="I21" s="261"/>
      <c r="J21" s="274"/>
      <c r="K21" s="122"/>
      <c r="L21" s="265"/>
      <c r="M21" s="263"/>
      <c r="N21" s="4"/>
      <c r="O21" s="17"/>
    </row>
    <row r="22" spans="1:15" ht="22.5" customHeight="1" x14ac:dyDescent="0.25">
      <c r="A22" s="267"/>
      <c r="B22" s="129" t="s">
        <v>197</v>
      </c>
      <c r="C22" s="22" t="s">
        <v>23</v>
      </c>
      <c r="D22" s="37" t="s">
        <v>192</v>
      </c>
      <c r="E22" s="143">
        <v>2</v>
      </c>
      <c r="F22" s="143">
        <v>0</v>
      </c>
      <c r="G22" s="145">
        <f>329148.34+144000</f>
        <v>473148.34</v>
      </c>
      <c r="H22" s="94">
        <v>0</v>
      </c>
      <c r="I22" s="261"/>
      <c r="J22" s="274"/>
      <c r="K22" s="122"/>
      <c r="L22" s="265"/>
      <c r="M22" s="263"/>
      <c r="N22" s="4"/>
      <c r="O22" s="17"/>
    </row>
    <row r="23" spans="1:15" ht="22.5" customHeight="1" thickBot="1" x14ac:dyDescent="0.3">
      <c r="A23" s="242"/>
      <c r="B23" s="131" t="s">
        <v>198</v>
      </c>
      <c r="C23" s="24" t="s">
        <v>55</v>
      </c>
      <c r="D23" s="38" t="s">
        <v>68</v>
      </c>
      <c r="E23" s="142">
        <v>5</v>
      </c>
      <c r="F23" s="142">
        <v>0</v>
      </c>
      <c r="G23" s="146">
        <f>5402073.48+111993.8+73140+580662.24+2741264.2</f>
        <v>8909133.7200000007</v>
      </c>
      <c r="H23" s="88">
        <v>0</v>
      </c>
      <c r="I23" s="268"/>
      <c r="J23" s="275"/>
      <c r="K23" s="120"/>
      <c r="L23" s="269"/>
      <c r="M23" s="270"/>
      <c r="N23" s="95"/>
      <c r="O23" s="17"/>
    </row>
    <row r="24" spans="1:15" ht="16.5" customHeight="1" thickBot="1" x14ac:dyDescent="0.3">
      <c r="A24" s="121">
        <v>5</v>
      </c>
      <c r="B24" s="78" t="s">
        <v>69</v>
      </c>
      <c r="C24" s="53" t="s">
        <v>12</v>
      </c>
      <c r="D24" s="45" t="s">
        <v>71</v>
      </c>
      <c r="E24" s="135">
        <v>14</v>
      </c>
      <c r="F24" s="135">
        <v>0</v>
      </c>
      <c r="G24" s="138">
        <v>7024395.7699999996</v>
      </c>
      <c r="H24" s="138">
        <v>0</v>
      </c>
      <c r="I24" s="138">
        <v>7024395.7699999996</v>
      </c>
      <c r="J24" s="138">
        <v>0</v>
      </c>
      <c r="K24" s="76"/>
      <c r="L24" s="119" t="s">
        <v>70</v>
      </c>
      <c r="M24" s="125" t="s">
        <v>71</v>
      </c>
      <c r="N24" s="4"/>
      <c r="O24" s="17"/>
    </row>
    <row r="25" spans="1:15" ht="24.75" customHeight="1" thickBot="1" x14ac:dyDescent="0.3">
      <c r="A25" s="64">
        <v>6</v>
      </c>
      <c r="B25" s="68" t="s">
        <v>72</v>
      </c>
      <c r="C25" s="57" t="s">
        <v>22</v>
      </c>
      <c r="D25" s="58" t="s">
        <v>199</v>
      </c>
      <c r="E25" s="134">
        <v>1</v>
      </c>
      <c r="F25" s="134">
        <v>0</v>
      </c>
      <c r="G25" s="137">
        <v>2570305.5</v>
      </c>
      <c r="H25" s="137">
        <v>0</v>
      </c>
      <c r="I25" s="137">
        <v>2570305.5</v>
      </c>
      <c r="J25" s="137">
        <v>0</v>
      </c>
      <c r="K25" s="63"/>
      <c r="L25" s="119" t="s">
        <v>73</v>
      </c>
      <c r="M25" s="125" t="s">
        <v>74</v>
      </c>
      <c r="N25" s="4"/>
      <c r="O25" s="67"/>
    </row>
    <row r="26" spans="1:15" ht="18.75" customHeight="1" thickBot="1" x14ac:dyDescent="0.3">
      <c r="A26" s="155">
        <v>7</v>
      </c>
      <c r="B26" s="203" t="s">
        <v>75</v>
      </c>
      <c r="C26" s="57" t="s">
        <v>31</v>
      </c>
      <c r="D26" s="58" t="s">
        <v>200</v>
      </c>
      <c r="E26" s="153">
        <v>4</v>
      </c>
      <c r="F26" s="153">
        <v>0</v>
      </c>
      <c r="G26" s="156">
        <v>1525565.9</v>
      </c>
      <c r="H26" s="156">
        <v>0</v>
      </c>
      <c r="I26" s="156">
        <v>1525565.9</v>
      </c>
      <c r="J26" s="156">
        <v>0</v>
      </c>
      <c r="K26" s="153"/>
      <c r="L26" s="153" t="s">
        <v>76</v>
      </c>
      <c r="M26" s="125" t="s">
        <v>74</v>
      </c>
      <c r="N26" s="5"/>
      <c r="O26" s="67"/>
    </row>
    <row r="27" spans="1:15" ht="21" customHeight="1" x14ac:dyDescent="0.25">
      <c r="A27" s="243">
        <v>8</v>
      </c>
      <c r="B27" s="48" t="s">
        <v>216</v>
      </c>
      <c r="C27" s="23" t="s">
        <v>30</v>
      </c>
      <c r="D27" s="36" t="s">
        <v>192</v>
      </c>
      <c r="E27" s="150">
        <v>1</v>
      </c>
      <c r="F27" s="150">
        <v>0</v>
      </c>
      <c r="G27" s="147">
        <v>199443.42</v>
      </c>
      <c r="H27" s="147">
        <v>0</v>
      </c>
      <c r="I27" s="252">
        <v>21243295.399999999</v>
      </c>
      <c r="J27" s="252">
        <v>0</v>
      </c>
      <c r="K27" s="150"/>
      <c r="L27" s="246" t="s">
        <v>77</v>
      </c>
      <c r="M27" s="249" t="s">
        <v>78</v>
      </c>
      <c r="N27" s="4"/>
    </row>
    <row r="28" spans="1:15" ht="21" customHeight="1" x14ac:dyDescent="0.25">
      <c r="A28" s="244"/>
      <c r="B28" s="74" t="s">
        <v>217</v>
      </c>
      <c r="C28" s="22" t="s">
        <v>19</v>
      </c>
      <c r="D28" s="37" t="s">
        <v>68</v>
      </c>
      <c r="E28" s="151">
        <v>1</v>
      </c>
      <c r="F28" s="151">
        <v>0</v>
      </c>
      <c r="G28" s="148">
        <v>48000</v>
      </c>
      <c r="H28" s="148">
        <v>0</v>
      </c>
      <c r="I28" s="253"/>
      <c r="J28" s="253"/>
      <c r="K28" s="151"/>
      <c r="L28" s="247"/>
      <c r="M28" s="250"/>
      <c r="N28" s="4"/>
    </row>
    <row r="29" spans="1:15" ht="21" customHeight="1" x14ac:dyDescent="0.25">
      <c r="A29" s="244"/>
      <c r="B29" s="74" t="s">
        <v>218</v>
      </c>
      <c r="C29" s="22" t="s">
        <v>16</v>
      </c>
      <c r="D29" s="37" t="s">
        <v>199</v>
      </c>
      <c r="E29" s="151">
        <v>3</v>
      </c>
      <c r="F29" s="151">
        <v>0</v>
      </c>
      <c r="G29" s="148">
        <f>248995.2+66000+77418</f>
        <v>392413.2</v>
      </c>
      <c r="H29" s="148">
        <v>0</v>
      </c>
      <c r="I29" s="253"/>
      <c r="J29" s="253"/>
      <c r="K29" s="151"/>
      <c r="L29" s="247"/>
      <c r="M29" s="250"/>
      <c r="N29" s="95"/>
    </row>
    <row r="30" spans="1:15" ht="21" customHeight="1" x14ac:dyDescent="0.25">
      <c r="A30" s="244"/>
      <c r="B30" s="74" t="s">
        <v>219</v>
      </c>
      <c r="C30" s="22" t="s">
        <v>51</v>
      </c>
      <c r="D30" s="37" t="s">
        <v>68</v>
      </c>
      <c r="E30" s="151">
        <v>1</v>
      </c>
      <c r="F30" s="151">
        <v>0</v>
      </c>
      <c r="G30" s="148">
        <v>95843.14</v>
      </c>
      <c r="H30" s="148">
        <v>0</v>
      </c>
      <c r="I30" s="253"/>
      <c r="J30" s="253"/>
      <c r="K30" s="151"/>
      <c r="L30" s="247"/>
      <c r="M30" s="250"/>
      <c r="N30" s="4"/>
    </row>
    <row r="31" spans="1:15" ht="21" customHeight="1" x14ac:dyDescent="0.25">
      <c r="A31" s="244"/>
      <c r="B31" s="74" t="s">
        <v>220</v>
      </c>
      <c r="C31" s="22" t="s">
        <v>51</v>
      </c>
      <c r="D31" s="37" t="s">
        <v>199</v>
      </c>
      <c r="E31" s="151">
        <v>1</v>
      </c>
      <c r="F31" s="151">
        <v>0</v>
      </c>
      <c r="G31" s="148">
        <v>360000</v>
      </c>
      <c r="H31" s="148">
        <v>0</v>
      </c>
      <c r="I31" s="253"/>
      <c r="J31" s="253"/>
      <c r="K31" s="151"/>
      <c r="L31" s="247"/>
      <c r="M31" s="250"/>
      <c r="N31" s="4"/>
    </row>
    <row r="32" spans="1:15" ht="21" customHeight="1" x14ac:dyDescent="0.25">
      <c r="A32" s="244"/>
      <c r="B32" s="74" t="s">
        <v>221</v>
      </c>
      <c r="C32" s="22" t="s">
        <v>32</v>
      </c>
      <c r="D32" s="37" t="s">
        <v>192</v>
      </c>
      <c r="E32" s="151">
        <v>1</v>
      </c>
      <c r="F32" s="151">
        <v>0</v>
      </c>
      <c r="G32" s="148">
        <v>160880</v>
      </c>
      <c r="H32" s="148">
        <v>0</v>
      </c>
      <c r="I32" s="253"/>
      <c r="J32" s="253"/>
      <c r="K32" s="151"/>
      <c r="L32" s="247"/>
      <c r="M32" s="250"/>
      <c r="N32" s="4"/>
    </row>
    <row r="33" spans="1:14" ht="21" customHeight="1" x14ac:dyDescent="0.25">
      <c r="A33" s="244"/>
      <c r="B33" s="74" t="s">
        <v>222</v>
      </c>
      <c r="C33" s="22" t="s">
        <v>32</v>
      </c>
      <c r="D33" s="37" t="s">
        <v>199</v>
      </c>
      <c r="E33" s="151">
        <v>1</v>
      </c>
      <c r="F33" s="151">
        <v>0</v>
      </c>
      <c r="G33" s="148">
        <v>92815</v>
      </c>
      <c r="H33" s="148">
        <v>0</v>
      </c>
      <c r="I33" s="253"/>
      <c r="J33" s="253"/>
      <c r="K33" s="151"/>
      <c r="L33" s="247"/>
      <c r="M33" s="250"/>
      <c r="N33" s="4"/>
    </row>
    <row r="34" spans="1:14" ht="19.5" customHeight="1" thickBot="1" x14ac:dyDescent="0.3">
      <c r="A34" s="257"/>
      <c r="B34" s="204" t="s">
        <v>223</v>
      </c>
      <c r="C34" s="72" t="s">
        <v>57</v>
      </c>
      <c r="D34" s="73" t="s">
        <v>199</v>
      </c>
      <c r="E34" s="157">
        <v>6</v>
      </c>
      <c r="F34" s="157">
        <v>0</v>
      </c>
      <c r="G34" s="159">
        <f>377690.24+141705+16763743+1365850+156326.4+1088586</f>
        <v>19893900.639999997</v>
      </c>
      <c r="H34" s="159">
        <v>0</v>
      </c>
      <c r="I34" s="272"/>
      <c r="J34" s="272"/>
      <c r="K34" s="157"/>
      <c r="L34" s="258"/>
      <c r="M34" s="259"/>
      <c r="N34" s="4"/>
    </row>
    <row r="35" spans="1:14" ht="16.5" x14ac:dyDescent="0.25">
      <c r="A35" s="243">
        <v>9</v>
      </c>
      <c r="B35" s="48" t="s">
        <v>224</v>
      </c>
      <c r="C35" s="23" t="s">
        <v>55</v>
      </c>
      <c r="D35" s="36" t="s">
        <v>74</v>
      </c>
      <c r="E35" s="150">
        <v>4</v>
      </c>
      <c r="F35" s="150">
        <v>0</v>
      </c>
      <c r="G35" s="147">
        <f>277484.34+413000+82344.64+211200</f>
        <v>984028.9800000001</v>
      </c>
      <c r="H35" s="147">
        <v>0</v>
      </c>
      <c r="I35" s="252">
        <v>15342169.27</v>
      </c>
      <c r="J35" s="252">
        <v>0</v>
      </c>
      <c r="K35" s="150"/>
      <c r="L35" s="246" t="s">
        <v>79</v>
      </c>
      <c r="M35" s="249" t="s">
        <v>80</v>
      </c>
      <c r="N35" s="4"/>
    </row>
    <row r="36" spans="1:14" ht="16.5" x14ac:dyDescent="0.25">
      <c r="A36" s="244"/>
      <c r="B36" s="74" t="s">
        <v>225</v>
      </c>
      <c r="C36" s="22" t="s">
        <v>56</v>
      </c>
      <c r="D36" s="37" t="s">
        <v>200</v>
      </c>
      <c r="E36" s="151">
        <v>2</v>
      </c>
      <c r="F36" s="151">
        <v>0</v>
      </c>
      <c r="G36" s="148">
        <f>149613.48+11968740.11</f>
        <v>12118353.59</v>
      </c>
      <c r="H36" s="148">
        <v>0</v>
      </c>
      <c r="I36" s="253"/>
      <c r="J36" s="253"/>
      <c r="K36" s="151"/>
      <c r="L36" s="247"/>
      <c r="M36" s="250"/>
      <c r="N36" s="4"/>
    </row>
    <row r="37" spans="1:14" ht="16.5" x14ac:dyDescent="0.25">
      <c r="A37" s="244"/>
      <c r="B37" s="74" t="s">
        <v>226</v>
      </c>
      <c r="C37" s="22" t="s">
        <v>26</v>
      </c>
      <c r="D37" s="37" t="s">
        <v>71</v>
      </c>
      <c r="E37" s="151">
        <v>2</v>
      </c>
      <c r="F37" s="151">
        <v>0</v>
      </c>
      <c r="G37" s="148">
        <f>100000+1000000</f>
        <v>1100000</v>
      </c>
      <c r="H37" s="148">
        <v>0</v>
      </c>
      <c r="I37" s="253"/>
      <c r="J37" s="253"/>
      <c r="K37" s="151"/>
      <c r="L37" s="247"/>
      <c r="M37" s="250"/>
      <c r="N37" s="95"/>
    </row>
    <row r="38" spans="1:14" ht="16.5" x14ac:dyDescent="0.25">
      <c r="A38" s="244"/>
      <c r="B38" s="74" t="s">
        <v>227</v>
      </c>
      <c r="C38" s="22" t="s">
        <v>17</v>
      </c>
      <c r="D38" s="37" t="s">
        <v>200</v>
      </c>
      <c r="E38" s="151">
        <v>1</v>
      </c>
      <c r="F38" s="151">
        <v>0</v>
      </c>
      <c r="G38" s="148">
        <v>185722.62</v>
      </c>
      <c r="H38" s="148">
        <v>0</v>
      </c>
      <c r="I38" s="253"/>
      <c r="J38" s="253"/>
      <c r="K38" s="151"/>
      <c r="L38" s="247"/>
      <c r="M38" s="250"/>
      <c r="N38" s="4"/>
    </row>
    <row r="39" spans="1:14" ht="16.5" x14ac:dyDescent="0.25">
      <c r="A39" s="244"/>
      <c r="B39" s="74" t="s">
        <v>228</v>
      </c>
      <c r="C39" s="22" t="s">
        <v>16</v>
      </c>
      <c r="D39" s="37" t="s">
        <v>229</v>
      </c>
      <c r="E39" s="151">
        <v>2</v>
      </c>
      <c r="F39" s="151">
        <v>0</v>
      </c>
      <c r="G39" s="148">
        <f>96616.08+142290</f>
        <v>238906.08000000002</v>
      </c>
      <c r="H39" s="148">
        <v>0</v>
      </c>
      <c r="I39" s="253"/>
      <c r="J39" s="253"/>
      <c r="K39" s="151"/>
      <c r="L39" s="247"/>
      <c r="M39" s="250"/>
      <c r="N39" s="4"/>
    </row>
    <row r="40" spans="1:14" ht="16.5" x14ac:dyDescent="0.25">
      <c r="A40" s="244"/>
      <c r="B40" s="74" t="s">
        <v>230</v>
      </c>
      <c r="C40" s="22" t="s">
        <v>19</v>
      </c>
      <c r="D40" s="37" t="s">
        <v>200</v>
      </c>
      <c r="E40" s="151">
        <v>1</v>
      </c>
      <c r="F40" s="151">
        <v>0</v>
      </c>
      <c r="G40" s="148">
        <v>82000</v>
      </c>
      <c r="H40" s="148">
        <v>0</v>
      </c>
      <c r="I40" s="253"/>
      <c r="J40" s="253"/>
      <c r="K40" s="151"/>
      <c r="L40" s="247"/>
      <c r="M40" s="250"/>
      <c r="N40" s="4"/>
    </row>
    <row r="41" spans="1:14" ht="16.5" x14ac:dyDescent="0.25">
      <c r="A41" s="244"/>
      <c r="B41" s="74" t="s">
        <v>231</v>
      </c>
      <c r="C41" s="22" t="s">
        <v>35</v>
      </c>
      <c r="D41" s="37" t="s">
        <v>229</v>
      </c>
      <c r="E41" s="151">
        <v>1</v>
      </c>
      <c r="F41" s="151">
        <v>0</v>
      </c>
      <c r="G41" s="148">
        <v>99000</v>
      </c>
      <c r="H41" s="148">
        <v>0</v>
      </c>
      <c r="I41" s="253"/>
      <c r="J41" s="253"/>
      <c r="K41" s="151"/>
      <c r="L41" s="247"/>
      <c r="M41" s="250"/>
      <c r="N41" s="4"/>
    </row>
    <row r="42" spans="1:14" ht="16.5" x14ac:dyDescent="0.25">
      <c r="A42" s="244"/>
      <c r="B42" s="74" t="s">
        <v>232</v>
      </c>
      <c r="C42" s="22" t="s">
        <v>35</v>
      </c>
      <c r="D42" s="37" t="s">
        <v>74</v>
      </c>
      <c r="E42" s="151">
        <v>1</v>
      </c>
      <c r="F42" s="151">
        <v>0</v>
      </c>
      <c r="G42" s="148">
        <v>153458</v>
      </c>
      <c r="H42" s="148">
        <v>0</v>
      </c>
      <c r="I42" s="253"/>
      <c r="J42" s="253"/>
      <c r="K42" s="151"/>
      <c r="L42" s="247"/>
      <c r="M42" s="250"/>
      <c r="N42" s="4"/>
    </row>
    <row r="43" spans="1:14" ht="17.25" thickBot="1" x14ac:dyDescent="0.3">
      <c r="A43" s="245"/>
      <c r="B43" s="49" t="s">
        <v>233</v>
      </c>
      <c r="C43" s="24" t="s">
        <v>25</v>
      </c>
      <c r="D43" s="38" t="s">
        <v>229</v>
      </c>
      <c r="E43" s="152">
        <v>1</v>
      </c>
      <c r="F43" s="152">
        <v>0</v>
      </c>
      <c r="G43" s="149">
        <v>380700</v>
      </c>
      <c r="H43" s="149">
        <v>0</v>
      </c>
      <c r="I43" s="254"/>
      <c r="J43" s="254"/>
      <c r="K43" s="152"/>
      <c r="L43" s="248"/>
      <c r="M43" s="251"/>
      <c r="N43" s="95"/>
    </row>
    <row r="44" spans="1:14" ht="21.75" customHeight="1" x14ac:dyDescent="0.25">
      <c r="A44" s="243">
        <v>10</v>
      </c>
      <c r="B44" s="48" t="s">
        <v>234</v>
      </c>
      <c r="C44" s="23" t="s">
        <v>20</v>
      </c>
      <c r="D44" s="36" t="s">
        <v>200</v>
      </c>
      <c r="E44" s="150">
        <v>4</v>
      </c>
      <c r="F44" s="150">
        <v>0</v>
      </c>
      <c r="G44" s="172">
        <f>345344+3688221.6+120000+2065625.86</f>
        <v>6219191.46</v>
      </c>
      <c r="H44" s="172">
        <v>0</v>
      </c>
      <c r="I44" s="255">
        <v>8772392.2200000007</v>
      </c>
      <c r="J44" s="255">
        <v>0</v>
      </c>
      <c r="K44" s="150"/>
      <c r="L44" s="246" t="s">
        <v>81</v>
      </c>
      <c r="M44" s="249" t="s">
        <v>80</v>
      </c>
      <c r="N44" s="4"/>
    </row>
    <row r="45" spans="1:14" ht="21.75" customHeight="1" x14ac:dyDescent="0.25">
      <c r="A45" s="244"/>
      <c r="B45" s="74" t="s">
        <v>235</v>
      </c>
      <c r="C45" s="22" t="s">
        <v>59</v>
      </c>
      <c r="D45" s="37" t="s">
        <v>64</v>
      </c>
      <c r="E45" s="151">
        <v>2</v>
      </c>
      <c r="F45" s="151">
        <v>0</v>
      </c>
      <c r="G45" s="173">
        <v>130372.68</v>
      </c>
      <c r="H45" s="173">
        <v>0</v>
      </c>
      <c r="I45" s="266"/>
      <c r="J45" s="266"/>
      <c r="K45" s="151"/>
      <c r="L45" s="247"/>
      <c r="M45" s="250"/>
      <c r="N45" s="4"/>
    </row>
    <row r="46" spans="1:14" ht="21.75" customHeight="1" thickBot="1" x14ac:dyDescent="0.3">
      <c r="A46" s="245"/>
      <c r="B46" s="49" t="s">
        <v>236</v>
      </c>
      <c r="C46" s="24" t="s">
        <v>19</v>
      </c>
      <c r="D46" s="38" t="s">
        <v>229</v>
      </c>
      <c r="E46" s="152">
        <v>1</v>
      </c>
      <c r="F46" s="152">
        <v>0</v>
      </c>
      <c r="G46" s="174">
        <v>2422828.08</v>
      </c>
      <c r="H46" s="174">
        <v>0</v>
      </c>
      <c r="I46" s="256"/>
      <c r="J46" s="256"/>
      <c r="K46" s="152"/>
      <c r="L46" s="248"/>
      <c r="M46" s="251"/>
      <c r="N46" s="95"/>
    </row>
    <row r="47" spans="1:14" ht="22.5" customHeight="1" thickBot="1" x14ac:dyDescent="0.3">
      <c r="A47" s="132">
        <v>11</v>
      </c>
      <c r="B47" s="56" t="s">
        <v>82</v>
      </c>
      <c r="C47" s="54" t="s">
        <v>12</v>
      </c>
      <c r="D47" s="55" t="s">
        <v>80</v>
      </c>
      <c r="E47" s="135">
        <v>9</v>
      </c>
      <c r="F47" s="135">
        <v>0</v>
      </c>
      <c r="G47" s="138">
        <v>8365588.0599999996</v>
      </c>
      <c r="H47" s="138">
        <v>0</v>
      </c>
      <c r="I47" s="138">
        <v>8365588.0599999996</v>
      </c>
      <c r="J47" s="138">
        <v>0</v>
      </c>
      <c r="K47" s="65"/>
      <c r="L47" s="154" t="s">
        <v>83</v>
      </c>
      <c r="M47" s="195" t="s">
        <v>80</v>
      </c>
      <c r="N47" s="4"/>
    </row>
    <row r="48" spans="1:14" ht="21" customHeight="1" x14ac:dyDescent="0.25">
      <c r="A48" s="243">
        <v>12</v>
      </c>
      <c r="B48" s="48" t="s">
        <v>237</v>
      </c>
      <c r="C48" s="23" t="s">
        <v>22</v>
      </c>
      <c r="D48" s="36" t="s">
        <v>85</v>
      </c>
      <c r="E48" s="139">
        <v>11</v>
      </c>
      <c r="F48" s="139">
        <v>1</v>
      </c>
      <c r="G48" s="93">
        <f>3200000+105000+2950000+1028000+510000+90000+3650000+4820017.3+3951803.6+4770471.42+1938916.07</f>
        <v>27014208.390000001</v>
      </c>
      <c r="H48" s="93">
        <v>41082680</v>
      </c>
      <c r="I48" s="255">
        <v>46431055.090000004</v>
      </c>
      <c r="J48" s="255">
        <v>42192786.5</v>
      </c>
      <c r="K48" s="139"/>
      <c r="L48" s="246" t="s">
        <v>84</v>
      </c>
      <c r="M48" s="249" t="s">
        <v>85</v>
      </c>
      <c r="N48" s="95"/>
    </row>
    <row r="49" spans="1:14" ht="21" customHeight="1" x14ac:dyDescent="0.25">
      <c r="A49" s="244"/>
      <c r="B49" s="74" t="s">
        <v>238</v>
      </c>
      <c r="C49" s="22" t="s">
        <v>57</v>
      </c>
      <c r="D49" s="37" t="s">
        <v>239</v>
      </c>
      <c r="E49" s="143">
        <v>2</v>
      </c>
      <c r="F49" s="143">
        <v>0</v>
      </c>
      <c r="G49" s="94">
        <f>885579.6+398521.5</f>
        <v>1284101.1000000001</v>
      </c>
      <c r="H49" s="94">
        <v>0</v>
      </c>
      <c r="I49" s="266"/>
      <c r="J49" s="266"/>
      <c r="K49" s="143"/>
      <c r="L49" s="247"/>
      <c r="M49" s="250"/>
      <c r="N49" s="95"/>
    </row>
    <row r="50" spans="1:14" ht="21" customHeight="1" x14ac:dyDescent="0.25">
      <c r="A50" s="244"/>
      <c r="B50" s="74" t="s">
        <v>240</v>
      </c>
      <c r="C50" s="22" t="s">
        <v>15</v>
      </c>
      <c r="D50" s="37" t="s">
        <v>192</v>
      </c>
      <c r="E50" s="143">
        <v>8</v>
      </c>
      <c r="F50" s="143">
        <v>0</v>
      </c>
      <c r="G50" s="94">
        <f>500000+372427+64000.06+280000+250000+1710516.81+2763922+150000</f>
        <v>6090865.8700000001</v>
      </c>
      <c r="H50" s="94">
        <v>0</v>
      </c>
      <c r="I50" s="266"/>
      <c r="J50" s="266"/>
      <c r="K50" s="143"/>
      <c r="L50" s="247"/>
      <c r="M50" s="250"/>
      <c r="N50" s="95"/>
    </row>
    <row r="51" spans="1:14" ht="21" customHeight="1" x14ac:dyDescent="0.25">
      <c r="A51" s="244"/>
      <c r="B51" s="74" t="s">
        <v>241</v>
      </c>
      <c r="C51" s="22" t="s">
        <v>29</v>
      </c>
      <c r="D51" s="37" t="s">
        <v>200</v>
      </c>
      <c r="E51" s="143">
        <v>2</v>
      </c>
      <c r="F51" s="143">
        <v>0</v>
      </c>
      <c r="G51" s="94">
        <f>75165+122044.8</f>
        <v>197209.8</v>
      </c>
      <c r="H51" s="94">
        <v>0</v>
      </c>
      <c r="I51" s="266"/>
      <c r="J51" s="266"/>
      <c r="K51" s="143"/>
      <c r="L51" s="247"/>
      <c r="M51" s="250"/>
      <c r="N51" s="95"/>
    </row>
    <row r="52" spans="1:14" ht="21" customHeight="1" x14ac:dyDescent="0.25">
      <c r="A52" s="244"/>
      <c r="B52" s="74" t="s">
        <v>242</v>
      </c>
      <c r="C52" s="22" t="s">
        <v>59</v>
      </c>
      <c r="D52" s="37" t="s">
        <v>71</v>
      </c>
      <c r="E52" s="143">
        <v>1</v>
      </c>
      <c r="F52" s="143">
        <v>0</v>
      </c>
      <c r="G52" s="94">
        <v>305000</v>
      </c>
      <c r="H52" s="94">
        <v>0</v>
      </c>
      <c r="I52" s="266"/>
      <c r="J52" s="266"/>
      <c r="K52" s="143"/>
      <c r="L52" s="247"/>
      <c r="M52" s="250"/>
      <c r="N52" s="95"/>
    </row>
    <row r="53" spans="1:14" ht="21" customHeight="1" x14ac:dyDescent="0.25">
      <c r="A53" s="244"/>
      <c r="B53" s="74" t="s">
        <v>243</v>
      </c>
      <c r="C53" s="22" t="s">
        <v>26</v>
      </c>
      <c r="D53" s="37" t="s">
        <v>229</v>
      </c>
      <c r="E53" s="143">
        <v>4</v>
      </c>
      <c r="F53" s="143">
        <v>0</v>
      </c>
      <c r="G53" s="94">
        <f>533892+59200+771722+77000</f>
        <v>1441814</v>
      </c>
      <c r="H53" s="94">
        <v>0</v>
      </c>
      <c r="I53" s="266"/>
      <c r="J53" s="266"/>
      <c r="K53" s="143"/>
      <c r="L53" s="247"/>
      <c r="M53" s="250"/>
      <c r="N53" s="95"/>
    </row>
    <row r="54" spans="1:14" ht="21" customHeight="1" x14ac:dyDescent="0.25">
      <c r="A54" s="244"/>
      <c r="B54" s="74" t="s">
        <v>244</v>
      </c>
      <c r="C54" s="22" t="s">
        <v>59</v>
      </c>
      <c r="D54" s="37" t="s">
        <v>229</v>
      </c>
      <c r="E54" s="143">
        <v>3</v>
      </c>
      <c r="F54" s="143">
        <v>0</v>
      </c>
      <c r="G54" s="189">
        <f>58165.65+3302040+360000</f>
        <v>3720205.65</v>
      </c>
      <c r="H54" s="94">
        <v>0</v>
      </c>
      <c r="I54" s="266"/>
      <c r="J54" s="266"/>
      <c r="K54" s="143"/>
      <c r="L54" s="247"/>
      <c r="M54" s="250"/>
      <c r="N54" s="95"/>
    </row>
    <row r="55" spans="1:14" ht="21" customHeight="1" x14ac:dyDescent="0.25">
      <c r="A55" s="244"/>
      <c r="B55" s="74" t="s">
        <v>245</v>
      </c>
      <c r="C55" s="22" t="s">
        <v>16</v>
      </c>
      <c r="D55" s="37" t="s">
        <v>80</v>
      </c>
      <c r="E55" s="143">
        <v>2</v>
      </c>
      <c r="F55" s="143">
        <v>0</v>
      </c>
      <c r="G55" s="94">
        <f>165456+39110.4</f>
        <v>204566.39999999999</v>
      </c>
      <c r="H55" s="94">
        <v>0</v>
      </c>
      <c r="I55" s="266"/>
      <c r="J55" s="266"/>
      <c r="K55" s="143"/>
      <c r="L55" s="247"/>
      <c r="M55" s="250"/>
      <c r="N55" s="95"/>
    </row>
    <row r="56" spans="1:14" ht="21" customHeight="1" x14ac:dyDescent="0.25">
      <c r="A56" s="244"/>
      <c r="B56" s="75" t="s">
        <v>246</v>
      </c>
      <c r="C56" s="22" t="s">
        <v>32</v>
      </c>
      <c r="D56" s="37" t="s">
        <v>78</v>
      </c>
      <c r="E56" s="143">
        <v>1</v>
      </c>
      <c r="F56" s="143">
        <v>0</v>
      </c>
      <c r="G56" s="94">
        <v>913020</v>
      </c>
      <c r="H56" s="94">
        <v>0</v>
      </c>
      <c r="I56" s="266"/>
      <c r="J56" s="266"/>
      <c r="K56" s="143"/>
      <c r="L56" s="247"/>
      <c r="M56" s="250"/>
      <c r="N56" s="95"/>
    </row>
    <row r="57" spans="1:14" ht="21" customHeight="1" x14ac:dyDescent="0.25">
      <c r="A57" s="244"/>
      <c r="B57" s="74" t="s">
        <v>247</v>
      </c>
      <c r="C57" s="22" t="s">
        <v>30</v>
      </c>
      <c r="D57" s="37" t="s">
        <v>85</v>
      </c>
      <c r="E57" s="143">
        <v>1</v>
      </c>
      <c r="F57" s="143">
        <v>0</v>
      </c>
      <c r="G57" s="94">
        <v>1632358</v>
      </c>
      <c r="H57" s="94">
        <v>0</v>
      </c>
      <c r="I57" s="266"/>
      <c r="J57" s="266"/>
      <c r="K57" s="143"/>
      <c r="L57" s="247"/>
      <c r="M57" s="250"/>
      <c r="N57" s="95"/>
    </row>
    <row r="58" spans="1:14" ht="21" customHeight="1" x14ac:dyDescent="0.25">
      <c r="A58" s="244"/>
      <c r="B58" s="74" t="s">
        <v>248</v>
      </c>
      <c r="C58" s="22" t="s">
        <v>21</v>
      </c>
      <c r="D58" s="37" t="s">
        <v>85</v>
      </c>
      <c r="E58" s="181">
        <v>1</v>
      </c>
      <c r="F58" s="181">
        <v>2</v>
      </c>
      <c r="G58" s="94">
        <v>2633844</v>
      </c>
      <c r="H58" s="94">
        <f>75000+500000</f>
        <v>575000</v>
      </c>
      <c r="I58" s="266"/>
      <c r="J58" s="266"/>
      <c r="K58" s="143"/>
      <c r="L58" s="247"/>
      <c r="M58" s="250"/>
      <c r="N58" s="95"/>
    </row>
    <row r="59" spans="1:14" ht="21" customHeight="1" thickBot="1" x14ac:dyDescent="0.3">
      <c r="A59" s="245"/>
      <c r="B59" s="49" t="s">
        <v>249</v>
      </c>
      <c r="C59" s="24" t="s">
        <v>13</v>
      </c>
      <c r="D59" s="38" t="s">
        <v>250</v>
      </c>
      <c r="E59" s="205">
        <v>3</v>
      </c>
      <c r="F59" s="205">
        <v>1</v>
      </c>
      <c r="G59" s="88">
        <f>347406.72+339224+307231.16</f>
        <v>993861.87999999989</v>
      </c>
      <c r="H59" s="184">
        <v>535106.5</v>
      </c>
      <c r="I59" s="256"/>
      <c r="J59" s="256"/>
      <c r="K59" s="142"/>
      <c r="L59" s="248"/>
      <c r="M59" s="251"/>
      <c r="N59" s="95"/>
    </row>
    <row r="60" spans="1:14" ht="20.100000000000001" customHeight="1" thickBot="1" x14ac:dyDescent="0.3">
      <c r="A60" s="132">
        <v>13</v>
      </c>
      <c r="B60" s="56" t="s">
        <v>86</v>
      </c>
      <c r="C60" s="54" t="s">
        <v>12</v>
      </c>
      <c r="D60" s="55" t="s">
        <v>88</v>
      </c>
      <c r="E60" s="135">
        <v>6</v>
      </c>
      <c r="F60" s="135">
        <v>0</v>
      </c>
      <c r="G60" s="138">
        <v>4298890.57</v>
      </c>
      <c r="H60" s="138">
        <v>0</v>
      </c>
      <c r="I60" s="138">
        <v>4298890.57</v>
      </c>
      <c r="J60" s="138">
        <v>0</v>
      </c>
      <c r="K60" s="135"/>
      <c r="L60" s="134" t="s">
        <v>87</v>
      </c>
      <c r="M60" s="125" t="s">
        <v>88</v>
      </c>
      <c r="N60" s="4"/>
    </row>
    <row r="61" spans="1:14" ht="20.25" customHeight="1" x14ac:dyDescent="0.25">
      <c r="A61" s="243">
        <v>14</v>
      </c>
      <c r="B61" s="48" t="s">
        <v>251</v>
      </c>
      <c r="C61" s="23" t="s">
        <v>22</v>
      </c>
      <c r="D61" s="36" t="s">
        <v>90</v>
      </c>
      <c r="E61" s="139">
        <v>13</v>
      </c>
      <c r="F61" s="139">
        <v>3</v>
      </c>
      <c r="G61" s="144">
        <v>147981225.06</v>
      </c>
      <c r="H61" s="178">
        <f>5300764.16+8771820.9+6709387.49</f>
        <v>20781972.550000001</v>
      </c>
      <c r="I61" s="252">
        <v>153942775.06</v>
      </c>
      <c r="J61" s="252">
        <v>21781972.550000001</v>
      </c>
      <c r="K61" s="139"/>
      <c r="L61" s="246" t="s">
        <v>89</v>
      </c>
      <c r="M61" s="249" t="s">
        <v>90</v>
      </c>
      <c r="N61" s="95"/>
    </row>
    <row r="62" spans="1:14" ht="21" customHeight="1" x14ac:dyDescent="0.25">
      <c r="A62" s="244"/>
      <c r="B62" s="160" t="s">
        <v>252</v>
      </c>
      <c r="C62" s="22" t="s">
        <v>16</v>
      </c>
      <c r="D62" s="37" t="s">
        <v>88</v>
      </c>
      <c r="E62" s="143">
        <v>1</v>
      </c>
      <c r="F62" s="143">
        <v>0</v>
      </c>
      <c r="G62" s="145">
        <v>320250</v>
      </c>
      <c r="H62" s="145">
        <v>0</v>
      </c>
      <c r="I62" s="253"/>
      <c r="J62" s="253"/>
      <c r="K62" s="143"/>
      <c r="L62" s="247"/>
      <c r="M62" s="250"/>
      <c r="N62" s="95"/>
    </row>
    <row r="63" spans="1:14" ht="19.5" customHeight="1" thickBot="1" x14ac:dyDescent="0.3">
      <c r="A63" s="245"/>
      <c r="B63" s="161" t="s">
        <v>253</v>
      </c>
      <c r="C63" s="24" t="s">
        <v>26</v>
      </c>
      <c r="D63" s="38" t="s">
        <v>239</v>
      </c>
      <c r="E63" s="142">
        <v>3</v>
      </c>
      <c r="F63" s="142">
        <v>1</v>
      </c>
      <c r="G63" s="146">
        <v>5641300</v>
      </c>
      <c r="H63" s="146">
        <v>1000000</v>
      </c>
      <c r="I63" s="254"/>
      <c r="J63" s="254"/>
      <c r="K63" s="142"/>
      <c r="L63" s="248"/>
      <c r="M63" s="251"/>
      <c r="N63" s="4"/>
    </row>
    <row r="64" spans="1:14" ht="26.25" customHeight="1" thickBot="1" x14ac:dyDescent="0.3">
      <c r="A64" s="132">
        <v>15</v>
      </c>
      <c r="B64" s="56" t="s">
        <v>91</v>
      </c>
      <c r="C64" s="53" t="s">
        <v>31</v>
      </c>
      <c r="D64" s="55" t="s">
        <v>93</v>
      </c>
      <c r="E64" s="135">
        <v>1</v>
      </c>
      <c r="F64" s="135">
        <v>0</v>
      </c>
      <c r="G64" s="138">
        <v>1402306.24</v>
      </c>
      <c r="H64" s="138">
        <v>0</v>
      </c>
      <c r="I64" s="138">
        <v>1402306.24</v>
      </c>
      <c r="J64" s="138">
        <v>0</v>
      </c>
      <c r="K64" s="135"/>
      <c r="L64" s="134" t="s">
        <v>92</v>
      </c>
      <c r="M64" s="125" t="s">
        <v>93</v>
      </c>
      <c r="N64" s="4"/>
    </row>
    <row r="65" spans="1:14" ht="21" customHeight="1" thickBot="1" x14ac:dyDescent="0.3">
      <c r="A65" s="241">
        <v>16</v>
      </c>
      <c r="B65" s="48" t="s">
        <v>254</v>
      </c>
      <c r="C65" s="23" t="s">
        <v>31</v>
      </c>
      <c r="D65" s="36" t="s">
        <v>255</v>
      </c>
      <c r="E65" s="134">
        <v>6</v>
      </c>
      <c r="F65" s="134">
        <v>0</v>
      </c>
      <c r="G65" s="90">
        <v>16562389.32</v>
      </c>
      <c r="H65" s="90">
        <v>0</v>
      </c>
      <c r="I65" s="260">
        <v>33723580.840000004</v>
      </c>
      <c r="J65" s="260">
        <v>1160127</v>
      </c>
      <c r="K65" s="134"/>
      <c r="L65" s="264" t="s">
        <v>94</v>
      </c>
      <c r="M65" s="262" t="s">
        <v>95</v>
      </c>
      <c r="N65" s="5"/>
    </row>
    <row r="66" spans="1:14" ht="21" customHeight="1" thickBot="1" x14ac:dyDescent="0.3">
      <c r="A66" s="267"/>
      <c r="B66" s="78" t="s">
        <v>256</v>
      </c>
      <c r="C66" s="54" t="s">
        <v>30</v>
      </c>
      <c r="D66" s="55" t="s">
        <v>95</v>
      </c>
      <c r="E66" s="135">
        <v>1</v>
      </c>
      <c r="F66" s="135">
        <v>0</v>
      </c>
      <c r="G66" s="91">
        <v>251709</v>
      </c>
      <c r="H66" s="91">
        <v>0</v>
      </c>
      <c r="I66" s="261"/>
      <c r="J66" s="261"/>
      <c r="K66" s="134"/>
      <c r="L66" s="265"/>
      <c r="M66" s="263"/>
      <c r="N66" s="5"/>
    </row>
    <row r="67" spans="1:14" ht="21" customHeight="1" thickBot="1" x14ac:dyDescent="0.3">
      <c r="A67" s="267"/>
      <c r="B67" s="78" t="s">
        <v>257</v>
      </c>
      <c r="C67" s="22" t="s">
        <v>32</v>
      </c>
      <c r="D67" s="55" t="s">
        <v>93</v>
      </c>
      <c r="E67" s="135">
        <v>1</v>
      </c>
      <c r="F67" s="135">
        <v>0</v>
      </c>
      <c r="G67" s="91">
        <v>998585.32</v>
      </c>
      <c r="H67" s="91">
        <v>0</v>
      </c>
      <c r="I67" s="261"/>
      <c r="J67" s="261"/>
      <c r="K67" s="134"/>
      <c r="L67" s="265"/>
      <c r="M67" s="263"/>
      <c r="N67" s="96"/>
    </row>
    <row r="68" spans="1:14" ht="21" customHeight="1" thickBot="1" x14ac:dyDescent="0.3">
      <c r="A68" s="267"/>
      <c r="B68" s="78" t="s">
        <v>258</v>
      </c>
      <c r="C68" s="22" t="s">
        <v>11</v>
      </c>
      <c r="D68" s="55" t="s">
        <v>88</v>
      </c>
      <c r="E68" s="135">
        <v>6</v>
      </c>
      <c r="F68" s="135">
        <v>0</v>
      </c>
      <c r="G68" s="91">
        <v>8554443.5300000012</v>
      </c>
      <c r="H68" s="91">
        <v>0</v>
      </c>
      <c r="I68" s="261"/>
      <c r="J68" s="261"/>
      <c r="K68" s="134"/>
      <c r="L68" s="265"/>
      <c r="M68" s="263"/>
      <c r="N68" s="96"/>
    </row>
    <row r="69" spans="1:14" ht="21" customHeight="1" thickBot="1" x14ac:dyDescent="0.3">
      <c r="A69" s="267"/>
      <c r="B69" s="78" t="s">
        <v>259</v>
      </c>
      <c r="C69" s="22" t="s">
        <v>11</v>
      </c>
      <c r="D69" s="55" t="s">
        <v>88</v>
      </c>
      <c r="E69" s="135">
        <v>3</v>
      </c>
      <c r="F69" s="135">
        <v>0</v>
      </c>
      <c r="G69" s="91">
        <v>787705.4</v>
      </c>
      <c r="H69" s="91">
        <v>0</v>
      </c>
      <c r="I69" s="261"/>
      <c r="J69" s="261"/>
      <c r="K69" s="134"/>
      <c r="L69" s="265"/>
      <c r="M69" s="263"/>
      <c r="N69" s="96"/>
    </row>
    <row r="70" spans="1:14" ht="21" customHeight="1" thickBot="1" x14ac:dyDescent="0.3">
      <c r="A70" s="267"/>
      <c r="B70" s="78" t="s">
        <v>260</v>
      </c>
      <c r="C70" s="22" t="s">
        <v>17</v>
      </c>
      <c r="D70" s="55" t="s">
        <v>95</v>
      </c>
      <c r="E70" s="135">
        <v>1</v>
      </c>
      <c r="F70" s="135">
        <v>4</v>
      </c>
      <c r="G70" s="91">
        <v>1324402.5</v>
      </c>
      <c r="H70" s="91">
        <f>262224+203403+379500+315000</f>
        <v>1160127</v>
      </c>
      <c r="I70" s="261"/>
      <c r="J70" s="261"/>
      <c r="K70" s="134"/>
      <c r="L70" s="265"/>
      <c r="M70" s="263"/>
      <c r="N70" s="5"/>
    </row>
    <row r="71" spans="1:14" ht="21" customHeight="1" thickBot="1" x14ac:dyDescent="0.3">
      <c r="A71" s="267"/>
      <c r="B71" s="78" t="s">
        <v>261</v>
      </c>
      <c r="C71" s="22" t="s">
        <v>55</v>
      </c>
      <c r="D71" s="55" t="s">
        <v>95</v>
      </c>
      <c r="E71" s="135">
        <v>16</v>
      </c>
      <c r="F71" s="135">
        <v>0</v>
      </c>
      <c r="G71" s="91">
        <v>3235747.6899999995</v>
      </c>
      <c r="H71" s="91">
        <v>0</v>
      </c>
      <c r="I71" s="261"/>
      <c r="J71" s="261"/>
      <c r="K71" s="134"/>
      <c r="L71" s="265"/>
      <c r="M71" s="263"/>
      <c r="N71" s="206"/>
    </row>
    <row r="72" spans="1:14" ht="21" customHeight="1" thickBot="1" x14ac:dyDescent="0.3">
      <c r="A72" s="267"/>
      <c r="B72" s="78" t="s">
        <v>262</v>
      </c>
      <c r="C72" s="22" t="s">
        <v>23</v>
      </c>
      <c r="D72" s="55" t="s">
        <v>255</v>
      </c>
      <c r="E72" s="135">
        <v>9</v>
      </c>
      <c r="F72" s="135">
        <v>0</v>
      </c>
      <c r="G72" s="91">
        <v>1767215.5799999998</v>
      </c>
      <c r="H72" s="91">
        <v>0</v>
      </c>
      <c r="I72" s="261"/>
      <c r="J72" s="261"/>
      <c r="K72" s="134"/>
      <c r="L72" s="265"/>
      <c r="M72" s="263"/>
      <c r="N72" s="5"/>
    </row>
    <row r="73" spans="1:14" ht="21" customHeight="1" thickBot="1" x14ac:dyDescent="0.3">
      <c r="A73" s="242"/>
      <c r="B73" s="162" t="s">
        <v>263</v>
      </c>
      <c r="C73" s="24" t="s">
        <v>54</v>
      </c>
      <c r="D73" s="38" t="s">
        <v>255</v>
      </c>
      <c r="E73" s="136">
        <v>1</v>
      </c>
      <c r="F73" s="136">
        <v>0</v>
      </c>
      <c r="G73" s="92">
        <v>241382.5</v>
      </c>
      <c r="H73" s="92">
        <v>0</v>
      </c>
      <c r="I73" s="268"/>
      <c r="J73" s="268"/>
      <c r="K73" s="21"/>
      <c r="L73" s="269"/>
      <c r="M73" s="270"/>
      <c r="N73" s="5"/>
    </row>
    <row r="74" spans="1:14" ht="21" customHeight="1" x14ac:dyDescent="0.25">
      <c r="A74" s="241">
        <v>17</v>
      </c>
      <c r="B74" s="78" t="s">
        <v>264</v>
      </c>
      <c r="C74" s="54" t="s">
        <v>12</v>
      </c>
      <c r="D74" s="55" t="s">
        <v>97</v>
      </c>
      <c r="E74" s="135">
        <v>6</v>
      </c>
      <c r="F74" s="135">
        <v>0</v>
      </c>
      <c r="G74" s="190">
        <f>140325+49005.37+3099600+6540856.86+2690000+260000</f>
        <v>12779787.23</v>
      </c>
      <c r="H74" s="91">
        <v>0</v>
      </c>
      <c r="I74" s="260">
        <v>17596357.82</v>
      </c>
      <c r="J74" s="260">
        <v>0</v>
      </c>
      <c r="K74" s="135"/>
      <c r="L74" s="264" t="s">
        <v>96</v>
      </c>
      <c r="M74" s="262" t="s">
        <v>97</v>
      </c>
      <c r="N74" s="5"/>
    </row>
    <row r="75" spans="1:14" ht="30" customHeight="1" thickBot="1" x14ac:dyDescent="0.3">
      <c r="A75" s="242"/>
      <c r="B75" s="56" t="s">
        <v>265</v>
      </c>
      <c r="C75" s="54" t="s">
        <v>11</v>
      </c>
      <c r="D75" s="55" t="s">
        <v>95</v>
      </c>
      <c r="E75" s="135">
        <v>8</v>
      </c>
      <c r="F75" s="135">
        <v>0</v>
      </c>
      <c r="G75" s="192">
        <f>643250+487635.6+332171+1015956+600266.4+182149.52+1155200+399942.07</f>
        <v>4816570.59</v>
      </c>
      <c r="H75" s="138">
        <v>0</v>
      </c>
      <c r="I75" s="268"/>
      <c r="J75" s="268"/>
      <c r="K75" s="65"/>
      <c r="L75" s="269"/>
      <c r="M75" s="270"/>
      <c r="N75" s="96"/>
    </row>
    <row r="76" spans="1:14" ht="22.5" customHeight="1" thickBot="1" x14ac:dyDescent="0.3">
      <c r="A76" s="241">
        <v>18</v>
      </c>
      <c r="B76" s="48" t="s">
        <v>266</v>
      </c>
      <c r="C76" s="23" t="s">
        <v>22</v>
      </c>
      <c r="D76" s="36" t="s">
        <v>99</v>
      </c>
      <c r="E76" s="134">
        <v>18</v>
      </c>
      <c r="F76" s="134">
        <v>0</v>
      </c>
      <c r="G76" s="90">
        <v>25554182.780000001</v>
      </c>
      <c r="H76" s="90">
        <v>0</v>
      </c>
      <c r="I76" s="260">
        <v>29020282.780000001</v>
      </c>
      <c r="J76" s="260">
        <v>0</v>
      </c>
      <c r="K76" s="63"/>
      <c r="L76" s="264" t="s">
        <v>98</v>
      </c>
      <c r="M76" s="262" t="s">
        <v>99</v>
      </c>
      <c r="N76" s="5"/>
    </row>
    <row r="77" spans="1:14" ht="21" customHeight="1" thickBot="1" x14ac:dyDescent="0.3">
      <c r="A77" s="267"/>
      <c r="B77" s="56" t="s">
        <v>267</v>
      </c>
      <c r="C77" s="22" t="s">
        <v>24</v>
      </c>
      <c r="D77" s="55" t="s">
        <v>99</v>
      </c>
      <c r="E77" s="135">
        <v>1</v>
      </c>
      <c r="F77" s="135">
        <v>0</v>
      </c>
      <c r="G77" s="91">
        <v>2943000</v>
      </c>
      <c r="H77" s="91">
        <v>0</v>
      </c>
      <c r="I77" s="261"/>
      <c r="J77" s="261"/>
      <c r="K77" s="134"/>
      <c r="L77" s="265"/>
      <c r="M77" s="263"/>
      <c r="N77" s="96"/>
    </row>
    <row r="78" spans="1:14" ht="20.25" customHeight="1" thickBot="1" x14ac:dyDescent="0.3">
      <c r="A78" s="242"/>
      <c r="B78" s="49" t="s">
        <v>268</v>
      </c>
      <c r="C78" s="24" t="s">
        <v>59</v>
      </c>
      <c r="D78" s="38" t="s">
        <v>101</v>
      </c>
      <c r="E78" s="136">
        <v>1</v>
      </c>
      <c r="F78" s="136">
        <v>0</v>
      </c>
      <c r="G78" s="92">
        <v>523100</v>
      </c>
      <c r="H78" s="92">
        <v>0</v>
      </c>
      <c r="I78" s="268"/>
      <c r="J78" s="268"/>
      <c r="K78" s="21"/>
      <c r="L78" s="269"/>
      <c r="M78" s="270"/>
      <c r="N78" s="5"/>
    </row>
    <row r="79" spans="1:14" ht="31.5" customHeight="1" thickBot="1" x14ac:dyDescent="0.3">
      <c r="A79" s="25">
        <v>19</v>
      </c>
      <c r="B79" s="77" t="s">
        <v>269</v>
      </c>
      <c r="C79" s="26" t="s">
        <v>11</v>
      </c>
      <c r="D79" s="39" t="s">
        <v>101</v>
      </c>
      <c r="E79" s="21">
        <v>4</v>
      </c>
      <c r="F79" s="21">
        <v>0</v>
      </c>
      <c r="G79" s="168">
        <v>4035354.25</v>
      </c>
      <c r="H79" s="168">
        <v>0</v>
      </c>
      <c r="I79" s="168">
        <v>4035354.25</v>
      </c>
      <c r="J79" s="168">
        <v>0</v>
      </c>
      <c r="K79" s="21"/>
      <c r="L79" s="21" t="s">
        <v>100</v>
      </c>
      <c r="M79" s="27" t="s">
        <v>101</v>
      </c>
      <c r="N79" s="96"/>
    </row>
    <row r="80" spans="1:14" ht="21.75" customHeight="1" x14ac:dyDescent="0.25">
      <c r="A80" s="271">
        <v>20</v>
      </c>
      <c r="B80" s="207" t="s">
        <v>270</v>
      </c>
      <c r="C80" s="53" t="s">
        <v>17</v>
      </c>
      <c r="D80" s="45" t="s">
        <v>97</v>
      </c>
      <c r="E80" s="193">
        <v>1</v>
      </c>
      <c r="F80" s="193">
        <v>0</v>
      </c>
      <c r="G80" s="128">
        <v>234682.62</v>
      </c>
      <c r="H80" s="128">
        <v>0</v>
      </c>
      <c r="I80" s="261">
        <v>1365375.38</v>
      </c>
      <c r="J80" s="261">
        <v>0</v>
      </c>
      <c r="K80" s="193"/>
      <c r="L80" s="276" t="s">
        <v>102</v>
      </c>
      <c r="M80" s="277" t="s">
        <v>103</v>
      </c>
      <c r="N80" s="5"/>
    </row>
    <row r="81" spans="1:14" ht="22.5" customHeight="1" x14ac:dyDescent="0.25">
      <c r="A81" s="244"/>
      <c r="B81" s="74" t="s">
        <v>271</v>
      </c>
      <c r="C81" s="22" t="s">
        <v>55</v>
      </c>
      <c r="D81" s="37" t="s">
        <v>103</v>
      </c>
      <c r="E81" s="143">
        <v>6</v>
      </c>
      <c r="F81" s="143">
        <v>0</v>
      </c>
      <c r="G81" s="145">
        <f>192980+296773.96+139923.84+158556.96+174690+102144</f>
        <v>1065068.76</v>
      </c>
      <c r="H81" s="145">
        <v>0</v>
      </c>
      <c r="I81" s="261"/>
      <c r="J81" s="261"/>
      <c r="K81" s="143"/>
      <c r="L81" s="247"/>
      <c r="M81" s="250"/>
      <c r="N81" s="96"/>
    </row>
    <row r="82" spans="1:14" ht="24" customHeight="1" thickBot="1" x14ac:dyDescent="0.3">
      <c r="A82" s="245"/>
      <c r="B82" s="60" t="s">
        <v>272</v>
      </c>
      <c r="C82" s="22" t="s">
        <v>29</v>
      </c>
      <c r="D82" s="38" t="s">
        <v>101</v>
      </c>
      <c r="E82" s="142">
        <v>1</v>
      </c>
      <c r="F82" s="142">
        <v>0</v>
      </c>
      <c r="G82" s="146">
        <v>65624</v>
      </c>
      <c r="H82" s="146">
        <v>0</v>
      </c>
      <c r="I82" s="268"/>
      <c r="J82" s="268"/>
      <c r="K82" s="142"/>
      <c r="L82" s="248"/>
      <c r="M82" s="251"/>
      <c r="N82" s="5"/>
    </row>
    <row r="83" spans="1:14" ht="24" customHeight="1" thickBot="1" x14ac:dyDescent="0.3">
      <c r="A83" s="25">
        <v>21</v>
      </c>
      <c r="B83" s="163" t="s">
        <v>104</v>
      </c>
      <c r="C83" s="26" t="s">
        <v>12</v>
      </c>
      <c r="D83" s="39" t="s">
        <v>103</v>
      </c>
      <c r="E83" s="21">
        <v>10</v>
      </c>
      <c r="F83" s="21">
        <v>0</v>
      </c>
      <c r="G83" s="89">
        <v>4289439.75</v>
      </c>
      <c r="H83" s="89">
        <v>0</v>
      </c>
      <c r="I83" s="89">
        <v>4289439.75</v>
      </c>
      <c r="J83" s="89">
        <v>0</v>
      </c>
      <c r="K83" s="21"/>
      <c r="L83" s="21" t="s">
        <v>105</v>
      </c>
      <c r="M83" s="27" t="s">
        <v>103</v>
      </c>
      <c r="N83" s="5"/>
    </row>
    <row r="84" spans="1:14" ht="16.5" x14ac:dyDescent="0.25">
      <c r="A84" s="243">
        <v>22</v>
      </c>
      <c r="B84" s="48" t="s">
        <v>273</v>
      </c>
      <c r="C84" s="53" t="s">
        <v>27</v>
      </c>
      <c r="D84" s="36" t="s">
        <v>99</v>
      </c>
      <c r="E84" s="139">
        <v>4</v>
      </c>
      <c r="F84" s="139">
        <v>0</v>
      </c>
      <c r="G84" s="144">
        <f>40934.5+45626+40616+41482</f>
        <v>168658.5</v>
      </c>
      <c r="H84" s="144">
        <v>0</v>
      </c>
      <c r="I84" s="252">
        <v>641468.5</v>
      </c>
      <c r="J84" s="252">
        <v>0</v>
      </c>
      <c r="K84" s="139"/>
      <c r="L84" s="264" t="s">
        <v>106</v>
      </c>
      <c r="M84" s="262" t="s">
        <v>107</v>
      </c>
      <c r="N84" s="5"/>
    </row>
    <row r="85" spans="1:14" ht="17.25" thickBot="1" x14ac:dyDescent="0.3">
      <c r="A85" s="257"/>
      <c r="B85" s="208" t="s">
        <v>274</v>
      </c>
      <c r="C85" s="72" t="s">
        <v>28</v>
      </c>
      <c r="D85" s="73" t="s">
        <v>99</v>
      </c>
      <c r="E85" s="179">
        <v>1</v>
      </c>
      <c r="F85" s="179">
        <v>0</v>
      </c>
      <c r="G85" s="194">
        <v>472810</v>
      </c>
      <c r="H85" s="194">
        <v>0</v>
      </c>
      <c r="I85" s="272"/>
      <c r="J85" s="272"/>
      <c r="K85" s="179"/>
      <c r="L85" s="265"/>
      <c r="M85" s="263"/>
      <c r="N85" s="96"/>
    </row>
    <row r="86" spans="1:14" ht="22.5" customHeight="1" thickBot="1" x14ac:dyDescent="0.3">
      <c r="A86" s="25">
        <v>23</v>
      </c>
      <c r="B86" s="163" t="s">
        <v>275</v>
      </c>
      <c r="C86" s="26" t="s">
        <v>56</v>
      </c>
      <c r="D86" s="164" t="s">
        <v>107</v>
      </c>
      <c r="E86" s="164">
        <v>2</v>
      </c>
      <c r="F86" s="164">
        <v>0</v>
      </c>
      <c r="G86" s="170">
        <v>359919</v>
      </c>
      <c r="H86" s="165">
        <v>0</v>
      </c>
      <c r="I86" s="170">
        <v>359919</v>
      </c>
      <c r="J86" s="165">
        <v>0</v>
      </c>
      <c r="K86" s="164"/>
      <c r="L86" s="21" t="s">
        <v>108</v>
      </c>
      <c r="M86" s="27" t="s">
        <v>107</v>
      </c>
    </row>
    <row r="87" spans="1:14" ht="20.100000000000001" customHeight="1" x14ac:dyDescent="0.35">
      <c r="A87" s="241">
        <v>24</v>
      </c>
      <c r="B87" s="46" t="s">
        <v>276</v>
      </c>
      <c r="C87" s="53" t="s">
        <v>26</v>
      </c>
      <c r="D87" s="36" t="s">
        <v>277</v>
      </c>
      <c r="E87" s="134">
        <v>1</v>
      </c>
      <c r="F87" s="134">
        <v>0</v>
      </c>
      <c r="G87" s="17">
        <v>79440</v>
      </c>
      <c r="H87" s="90">
        <v>0</v>
      </c>
      <c r="I87" s="260">
        <v>517940</v>
      </c>
      <c r="J87" s="260">
        <v>0</v>
      </c>
      <c r="K87" s="134"/>
      <c r="L87" s="264" t="s">
        <v>109</v>
      </c>
      <c r="M87" s="262" t="s">
        <v>110</v>
      </c>
      <c r="N87" s="96"/>
    </row>
    <row r="88" spans="1:14" ht="20.100000000000001" customHeight="1" thickBot="1" x14ac:dyDescent="0.4">
      <c r="A88" s="267"/>
      <c r="B88" s="71" t="s">
        <v>278</v>
      </c>
      <c r="C88" s="72" t="s">
        <v>19</v>
      </c>
      <c r="D88" s="73" t="s">
        <v>107</v>
      </c>
      <c r="E88" s="180">
        <v>1</v>
      </c>
      <c r="F88" s="180">
        <v>0</v>
      </c>
      <c r="G88" s="191">
        <v>438500</v>
      </c>
      <c r="H88" s="191">
        <v>0</v>
      </c>
      <c r="I88" s="261"/>
      <c r="J88" s="261"/>
      <c r="K88" s="180"/>
      <c r="L88" s="265"/>
      <c r="M88" s="263"/>
      <c r="N88" s="96"/>
    </row>
    <row r="89" spans="1:14" ht="20.100000000000001" customHeight="1" thickBot="1" x14ac:dyDescent="0.4">
      <c r="A89" s="25">
        <v>25</v>
      </c>
      <c r="B89" s="107" t="s">
        <v>111</v>
      </c>
      <c r="C89" s="26" t="s">
        <v>12</v>
      </c>
      <c r="D89" s="39" t="s">
        <v>279</v>
      </c>
      <c r="E89" s="21">
        <v>7</v>
      </c>
      <c r="F89" s="21">
        <v>2</v>
      </c>
      <c r="G89" s="168">
        <v>31915341.789999999</v>
      </c>
      <c r="H89" s="168">
        <v>81000</v>
      </c>
      <c r="I89" s="168">
        <v>31915341.789999999</v>
      </c>
      <c r="J89" s="168">
        <v>81000</v>
      </c>
      <c r="K89" s="21"/>
      <c r="L89" s="21" t="s">
        <v>112</v>
      </c>
      <c r="M89" s="27" t="s">
        <v>110</v>
      </c>
      <c r="N89" s="96"/>
    </row>
    <row r="90" spans="1:14" ht="20.100000000000001" customHeight="1" x14ac:dyDescent="0.3">
      <c r="A90" s="243">
        <v>26</v>
      </c>
      <c r="B90" s="166" t="s">
        <v>280</v>
      </c>
      <c r="C90" s="53" t="s">
        <v>25</v>
      </c>
      <c r="D90" s="36" t="s">
        <v>110</v>
      </c>
      <c r="E90" s="139">
        <v>5</v>
      </c>
      <c r="F90" s="139">
        <v>0</v>
      </c>
      <c r="G90" s="93">
        <f>972990+103398.72+1349962.36+429432.58+775260</f>
        <v>3631043.66</v>
      </c>
      <c r="H90" s="93">
        <v>0</v>
      </c>
      <c r="I90" s="252">
        <v>6530094</v>
      </c>
      <c r="J90" s="252">
        <v>0</v>
      </c>
      <c r="K90" s="139"/>
      <c r="L90" s="264" t="s">
        <v>113</v>
      </c>
      <c r="M90" s="262" t="s">
        <v>110</v>
      </c>
      <c r="N90" s="5"/>
    </row>
    <row r="91" spans="1:14" ht="17.25" thickBot="1" x14ac:dyDescent="0.3">
      <c r="A91" s="245"/>
      <c r="B91" s="49" t="s">
        <v>281</v>
      </c>
      <c r="C91" s="24" t="s">
        <v>21</v>
      </c>
      <c r="D91" s="167" t="s">
        <v>115</v>
      </c>
      <c r="E91" s="142">
        <v>1</v>
      </c>
      <c r="F91" s="142">
        <v>0</v>
      </c>
      <c r="G91" s="146">
        <v>2899050.34</v>
      </c>
      <c r="H91" s="146">
        <v>0</v>
      </c>
      <c r="I91" s="254"/>
      <c r="J91" s="254"/>
      <c r="K91" s="142"/>
      <c r="L91" s="269"/>
      <c r="M91" s="270"/>
      <c r="N91" s="96"/>
    </row>
    <row r="92" spans="1:14" ht="20.100000000000001" customHeight="1" x14ac:dyDescent="0.35">
      <c r="A92" s="243">
        <v>27</v>
      </c>
      <c r="B92" s="46" t="s">
        <v>282</v>
      </c>
      <c r="C92" s="53" t="s">
        <v>19</v>
      </c>
      <c r="D92" s="36" t="s">
        <v>110</v>
      </c>
      <c r="E92" s="134">
        <v>1</v>
      </c>
      <c r="F92" s="134">
        <v>0</v>
      </c>
      <c r="G92" s="90">
        <v>388800</v>
      </c>
      <c r="H92" s="90">
        <v>0</v>
      </c>
      <c r="I92" s="260">
        <v>6752104.96</v>
      </c>
      <c r="J92" s="260">
        <v>510918</v>
      </c>
      <c r="K92" s="62"/>
      <c r="L92" s="264" t="s">
        <v>114</v>
      </c>
      <c r="M92" s="262" t="s">
        <v>115</v>
      </c>
      <c r="N92" s="5"/>
    </row>
    <row r="93" spans="1:14" ht="20.100000000000001" customHeight="1" x14ac:dyDescent="0.35">
      <c r="A93" s="267"/>
      <c r="B93" s="106" t="s">
        <v>283</v>
      </c>
      <c r="C93" s="22" t="s">
        <v>57</v>
      </c>
      <c r="D93" s="55" t="s">
        <v>279</v>
      </c>
      <c r="E93" s="135">
        <v>8</v>
      </c>
      <c r="F93" s="135">
        <v>0</v>
      </c>
      <c r="G93" s="91">
        <f>318010+67347+125339.2+98235+885579.6+598080+185350+1108800</f>
        <v>3386740.8</v>
      </c>
      <c r="H93" s="91">
        <v>0</v>
      </c>
      <c r="I93" s="261"/>
      <c r="J93" s="261"/>
      <c r="K93" s="135"/>
      <c r="L93" s="265"/>
      <c r="M93" s="263"/>
      <c r="N93" s="96"/>
    </row>
    <row r="94" spans="1:14" ht="20.100000000000001" customHeight="1" x14ac:dyDescent="0.35">
      <c r="A94" s="267"/>
      <c r="B94" s="106" t="s">
        <v>284</v>
      </c>
      <c r="C94" s="22" t="s">
        <v>16</v>
      </c>
      <c r="D94" s="55" t="s">
        <v>115</v>
      </c>
      <c r="E94" s="135">
        <v>1</v>
      </c>
      <c r="F94" s="135">
        <v>0</v>
      </c>
      <c r="G94" s="91">
        <v>704000</v>
      </c>
      <c r="H94" s="91">
        <v>0</v>
      </c>
      <c r="I94" s="261"/>
      <c r="J94" s="261"/>
      <c r="K94" s="135"/>
      <c r="L94" s="265"/>
      <c r="M94" s="263"/>
      <c r="N94" s="96"/>
    </row>
    <row r="95" spans="1:14" ht="20.100000000000001" customHeight="1" x14ac:dyDescent="0.35">
      <c r="A95" s="267"/>
      <c r="B95" s="106" t="s">
        <v>285</v>
      </c>
      <c r="C95" s="22" t="s">
        <v>13</v>
      </c>
      <c r="D95" s="55" t="s">
        <v>110</v>
      </c>
      <c r="E95" s="135">
        <v>6</v>
      </c>
      <c r="F95" s="135">
        <v>0</v>
      </c>
      <c r="G95" s="91">
        <f>66195.67+386569+998956+70823.81+450019.68+300000</f>
        <v>2272564.16</v>
      </c>
      <c r="H95" s="91">
        <v>0</v>
      </c>
      <c r="I95" s="261"/>
      <c r="J95" s="261"/>
      <c r="K95" s="135"/>
      <c r="L95" s="265"/>
      <c r="M95" s="263"/>
      <c r="N95" s="5"/>
    </row>
    <row r="96" spans="1:14" ht="20.100000000000001" customHeight="1" thickBot="1" x14ac:dyDescent="0.4">
      <c r="A96" s="257"/>
      <c r="B96" s="106" t="s">
        <v>193</v>
      </c>
      <c r="C96" s="24" t="s">
        <v>19</v>
      </c>
      <c r="D96" s="73" t="s">
        <v>110</v>
      </c>
      <c r="E96" s="135">
        <v>0</v>
      </c>
      <c r="F96" s="135">
        <v>10</v>
      </c>
      <c r="G96" s="91">
        <v>0</v>
      </c>
      <c r="H96" s="91">
        <v>510918</v>
      </c>
      <c r="I96" s="261"/>
      <c r="J96" s="261"/>
      <c r="K96" s="86"/>
      <c r="L96" s="269"/>
      <c r="M96" s="270"/>
      <c r="N96" s="96"/>
    </row>
    <row r="97" spans="1:14" ht="20.100000000000001" customHeight="1" x14ac:dyDescent="0.35">
      <c r="A97" s="243">
        <v>28</v>
      </c>
      <c r="B97" s="70" t="s">
        <v>286</v>
      </c>
      <c r="C97" s="53" t="s">
        <v>179</v>
      </c>
      <c r="D97" s="36" t="s">
        <v>115</v>
      </c>
      <c r="E97" s="139">
        <v>4</v>
      </c>
      <c r="F97" s="139">
        <v>0</v>
      </c>
      <c r="G97" s="93">
        <f>671712+246000+168000+95682</f>
        <v>1181394</v>
      </c>
      <c r="H97" s="93">
        <v>0</v>
      </c>
      <c r="I97" s="252">
        <v>1870294</v>
      </c>
      <c r="J97" s="252">
        <v>0</v>
      </c>
      <c r="K97" s="139"/>
      <c r="L97" s="264" t="s">
        <v>116</v>
      </c>
      <c r="M97" s="262" t="s">
        <v>117</v>
      </c>
      <c r="N97" s="5"/>
    </row>
    <row r="98" spans="1:14" ht="20.100000000000001" customHeight="1" thickBot="1" x14ac:dyDescent="0.35">
      <c r="A98" s="245"/>
      <c r="B98" s="109" t="s">
        <v>287</v>
      </c>
      <c r="C98" s="24" t="s">
        <v>51</v>
      </c>
      <c r="D98" s="38" t="s">
        <v>90</v>
      </c>
      <c r="E98" s="142">
        <v>3</v>
      </c>
      <c r="F98" s="142">
        <v>0</v>
      </c>
      <c r="G98" s="88">
        <f>153000+176400+359500</f>
        <v>688900</v>
      </c>
      <c r="H98" s="88">
        <v>0</v>
      </c>
      <c r="I98" s="254"/>
      <c r="J98" s="254"/>
      <c r="K98" s="142"/>
      <c r="L98" s="269"/>
      <c r="M98" s="270"/>
      <c r="N98" s="96"/>
    </row>
    <row r="99" spans="1:14" ht="21.75" customHeight="1" thickBot="1" x14ac:dyDescent="0.3">
      <c r="A99" s="25">
        <v>29</v>
      </c>
      <c r="B99" s="77" t="s">
        <v>118</v>
      </c>
      <c r="C99" s="26" t="s">
        <v>12</v>
      </c>
      <c r="D99" s="39" t="s">
        <v>117</v>
      </c>
      <c r="E99" s="21">
        <v>14</v>
      </c>
      <c r="F99" s="21">
        <v>0</v>
      </c>
      <c r="G99" s="168">
        <v>4112848.2</v>
      </c>
      <c r="H99" s="168">
        <v>0</v>
      </c>
      <c r="I99" s="168">
        <v>4112848.2</v>
      </c>
      <c r="J99" s="168">
        <v>0</v>
      </c>
      <c r="K99" s="21"/>
      <c r="L99" s="21" t="s">
        <v>119</v>
      </c>
      <c r="M99" s="27" t="s">
        <v>117</v>
      </c>
      <c r="N99" s="5"/>
    </row>
    <row r="100" spans="1:14" ht="20.100000000000001" customHeight="1" thickBot="1" x14ac:dyDescent="0.4">
      <c r="A100" s="25">
        <v>30</v>
      </c>
      <c r="B100" s="107" t="s">
        <v>120</v>
      </c>
      <c r="C100" s="26" t="s">
        <v>20</v>
      </c>
      <c r="D100" s="39" t="s">
        <v>117</v>
      </c>
      <c r="E100" s="21">
        <v>5</v>
      </c>
      <c r="F100" s="21">
        <v>0</v>
      </c>
      <c r="G100" s="168">
        <v>6618429.3399999999</v>
      </c>
      <c r="H100" s="168">
        <v>0</v>
      </c>
      <c r="I100" s="168">
        <v>6618429.3399999999</v>
      </c>
      <c r="J100" s="168">
        <v>0</v>
      </c>
      <c r="K100" s="21"/>
      <c r="L100" s="21" t="s">
        <v>121</v>
      </c>
      <c r="M100" s="27" t="s">
        <v>117</v>
      </c>
      <c r="N100" s="96"/>
    </row>
    <row r="101" spans="1:14" ht="20.100000000000001" customHeight="1" x14ac:dyDescent="0.35">
      <c r="A101" s="241">
        <v>31</v>
      </c>
      <c r="B101" s="46" t="s">
        <v>288</v>
      </c>
      <c r="C101" s="53" t="s">
        <v>58</v>
      </c>
      <c r="D101" s="36" t="s">
        <v>125</v>
      </c>
      <c r="E101" s="134">
        <v>1</v>
      </c>
      <c r="F101" s="134">
        <v>0</v>
      </c>
      <c r="G101" s="90">
        <v>224760</v>
      </c>
      <c r="H101" s="90">
        <v>0</v>
      </c>
      <c r="I101" s="260">
        <v>2714774.12</v>
      </c>
      <c r="J101" s="260">
        <v>479960</v>
      </c>
      <c r="K101" s="139"/>
      <c r="L101" s="264" t="s">
        <v>122</v>
      </c>
      <c r="M101" s="262" t="s">
        <v>117</v>
      </c>
      <c r="N101" s="96"/>
    </row>
    <row r="102" spans="1:14" ht="20.100000000000001" customHeight="1" x14ac:dyDescent="0.35">
      <c r="A102" s="267"/>
      <c r="B102" s="44" t="s">
        <v>289</v>
      </c>
      <c r="C102" s="22" t="s">
        <v>27</v>
      </c>
      <c r="D102" s="37" t="s">
        <v>117</v>
      </c>
      <c r="E102" s="135">
        <v>2</v>
      </c>
      <c r="F102" s="135">
        <v>2</v>
      </c>
      <c r="G102" s="91">
        <f>168487.62+69480</f>
        <v>237967.62</v>
      </c>
      <c r="H102" s="91">
        <f>440000+39960</f>
        <v>479960</v>
      </c>
      <c r="I102" s="261"/>
      <c r="J102" s="261"/>
      <c r="K102" s="141"/>
      <c r="L102" s="265"/>
      <c r="M102" s="263"/>
      <c r="N102" s="96"/>
    </row>
    <row r="103" spans="1:14" ht="20.100000000000001" customHeight="1" x14ac:dyDescent="0.35">
      <c r="A103" s="267"/>
      <c r="B103" s="44" t="s">
        <v>290</v>
      </c>
      <c r="C103" s="22" t="s">
        <v>28</v>
      </c>
      <c r="D103" s="73" t="s">
        <v>125</v>
      </c>
      <c r="E103" s="135">
        <v>8</v>
      </c>
      <c r="F103" s="135">
        <v>0</v>
      </c>
      <c r="G103" s="91">
        <f>405146+376110+81000+305791.8+406752.5+53100+106306.2+132840</f>
        <v>1867046.5</v>
      </c>
      <c r="H103" s="91">
        <v>0</v>
      </c>
      <c r="I103" s="261"/>
      <c r="J103" s="261"/>
      <c r="K103" s="135"/>
      <c r="L103" s="265"/>
      <c r="M103" s="263"/>
      <c r="N103" s="96"/>
    </row>
    <row r="104" spans="1:14" ht="20.100000000000001" customHeight="1" thickBot="1" x14ac:dyDescent="0.4">
      <c r="A104" s="242"/>
      <c r="B104" s="47" t="s">
        <v>291</v>
      </c>
      <c r="C104" s="24" t="s">
        <v>26</v>
      </c>
      <c r="D104" s="38" t="s">
        <v>292</v>
      </c>
      <c r="E104" s="136">
        <v>1</v>
      </c>
      <c r="F104" s="136">
        <v>0</v>
      </c>
      <c r="G104" s="92">
        <v>385000</v>
      </c>
      <c r="H104" s="92">
        <v>0</v>
      </c>
      <c r="I104" s="268"/>
      <c r="J104" s="268"/>
      <c r="K104" s="136"/>
      <c r="L104" s="269"/>
      <c r="M104" s="270"/>
      <c r="N104" s="96"/>
    </row>
    <row r="105" spans="1:14" ht="20.100000000000001" customHeight="1" thickBot="1" x14ac:dyDescent="0.4">
      <c r="A105" s="85">
        <v>32</v>
      </c>
      <c r="B105" s="106" t="s">
        <v>123</v>
      </c>
      <c r="C105" s="54" t="s">
        <v>12</v>
      </c>
      <c r="D105" s="55" t="s">
        <v>125</v>
      </c>
      <c r="E105" s="135">
        <v>5</v>
      </c>
      <c r="F105" s="135">
        <v>0</v>
      </c>
      <c r="G105" s="91">
        <v>4592658.17</v>
      </c>
      <c r="H105" s="91">
        <v>0</v>
      </c>
      <c r="I105" s="91">
        <v>4592658.17</v>
      </c>
      <c r="J105" s="91">
        <v>0</v>
      </c>
      <c r="K105" s="86"/>
      <c r="L105" s="21" t="s">
        <v>124</v>
      </c>
      <c r="M105" s="27" t="s">
        <v>125</v>
      </c>
      <c r="N105" s="96"/>
    </row>
    <row r="106" spans="1:14" ht="20.100000000000001" customHeight="1" thickBot="1" x14ac:dyDescent="0.4">
      <c r="A106" s="25">
        <v>33</v>
      </c>
      <c r="B106" s="107" t="s">
        <v>126</v>
      </c>
      <c r="C106" s="26" t="s">
        <v>22</v>
      </c>
      <c r="D106" s="39" t="s">
        <v>125</v>
      </c>
      <c r="E106" s="21">
        <v>31</v>
      </c>
      <c r="F106" s="21">
        <v>1</v>
      </c>
      <c r="G106" s="89">
        <v>73517730.620000005</v>
      </c>
      <c r="H106" s="89">
        <v>15664882.65</v>
      </c>
      <c r="I106" s="89">
        <v>73517730.620000005</v>
      </c>
      <c r="J106" s="89">
        <v>15664882.65</v>
      </c>
      <c r="K106" s="21"/>
      <c r="L106" s="21" t="s">
        <v>127</v>
      </c>
      <c r="M106" s="27" t="s">
        <v>125</v>
      </c>
      <c r="N106" s="96"/>
    </row>
    <row r="107" spans="1:14" ht="20.100000000000001" customHeight="1" x14ac:dyDescent="0.35">
      <c r="A107" s="271">
        <v>34</v>
      </c>
      <c r="B107" s="59" t="s">
        <v>293</v>
      </c>
      <c r="C107" s="53" t="s">
        <v>32</v>
      </c>
      <c r="D107" s="45" t="s">
        <v>125</v>
      </c>
      <c r="E107" s="193">
        <v>1</v>
      </c>
      <c r="F107" s="193">
        <v>0</v>
      </c>
      <c r="G107" s="209">
        <v>229200</v>
      </c>
      <c r="H107" s="209">
        <v>0</v>
      </c>
      <c r="I107" s="274">
        <v>2602667.7799999998</v>
      </c>
      <c r="J107" s="274">
        <v>0</v>
      </c>
      <c r="K107" s="193"/>
      <c r="L107" s="276" t="s">
        <v>128</v>
      </c>
      <c r="M107" s="277" t="s">
        <v>125</v>
      </c>
      <c r="N107" s="96"/>
    </row>
    <row r="108" spans="1:14" ht="20.100000000000001" customHeight="1" x14ac:dyDescent="0.3">
      <c r="A108" s="244"/>
      <c r="B108" s="108" t="s">
        <v>294</v>
      </c>
      <c r="C108" s="22" t="s">
        <v>59</v>
      </c>
      <c r="D108" s="37" t="s">
        <v>125</v>
      </c>
      <c r="E108" s="143">
        <v>1</v>
      </c>
      <c r="F108" s="143">
        <v>0</v>
      </c>
      <c r="G108" s="94">
        <v>810048.26</v>
      </c>
      <c r="H108" s="94">
        <v>0</v>
      </c>
      <c r="I108" s="274"/>
      <c r="J108" s="274"/>
      <c r="K108" s="143"/>
      <c r="L108" s="247"/>
      <c r="M108" s="250"/>
      <c r="N108" s="96"/>
    </row>
    <row r="109" spans="1:14" ht="20.100000000000001" customHeight="1" thickBot="1" x14ac:dyDescent="0.35">
      <c r="A109" s="245"/>
      <c r="B109" s="109" t="s">
        <v>295</v>
      </c>
      <c r="C109" s="24" t="s">
        <v>18</v>
      </c>
      <c r="D109" s="38" t="s">
        <v>110</v>
      </c>
      <c r="E109" s="142">
        <v>4</v>
      </c>
      <c r="F109" s="142">
        <v>0</v>
      </c>
      <c r="G109" s="88">
        <f>247200+277080+160200+878939.52</f>
        <v>1563419.52</v>
      </c>
      <c r="H109" s="88">
        <v>0</v>
      </c>
      <c r="I109" s="275"/>
      <c r="J109" s="275"/>
      <c r="K109" s="142"/>
      <c r="L109" s="248"/>
      <c r="M109" s="251"/>
      <c r="N109" s="96"/>
    </row>
    <row r="110" spans="1:14" ht="20.100000000000001" customHeight="1" x14ac:dyDescent="0.35">
      <c r="A110" s="271">
        <v>35</v>
      </c>
      <c r="B110" s="59" t="s">
        <v>296</v>
      </c>
      <c r="C110" s="53" t="s">
        <v>17</v>
      </c>
      <c r="D110" s="45" t="s">
        <v>130</v>
      </c>
      <c r="E110" s="135">
        <v>1</v>
      </c>
      <c r="F110" s="135">
        <v>0</v>
      </c>
      <c r="G110" s="91">
        <v>77513</v>
      </c>
      <c r="H110" s="91">
        <v>0</v>
      </c>
      <c r="I110" s="261">
        <v>5553263.0800000001</v>
      </c>
      <c r="J110" s="261">
        <v>0</v>
      </c>
      <c r="K110" s="66"/>
      <c r="L110" s="264" t="s">
        <v>129</v>
      </c>
      <c r="M110" s="262" t="s">
        <v>130</v>
      </c>
      <c r="N110" s="5"/>
    </row>
    <row r="111" spans="1:14" ht="20.100000000000001" customHeight="1" x14ac:dyDescent="0.35">
      <c r="A111" s="271"/>
      <c r="B111" s="59" t="s">
        <v>297</v>
      </c>
      <c r="C111" s="22" t="s">
        <v>51</v>
      </c>
      <c r="D111" s="45" t="s">
        <v>292</v>
      </c>
      <c r="E111" s="135">
        <v>1</v>
      </c>
      <c r="F111" s="135">
        <v>0</v>
      </c>
      <c r="G111" s="91">
        <v>623868</v>
      </c>
      <c r="H111" s="91">
        <v>0</v>
      </c>
      <c r="I111" s="261"/>
      <c r="J111" s="261"/>
      <c r="K111" s="141"/>
      <c r="L111" s="265"/>
      <c r="M111" s="263"/>
      <c r="N111" s="5"/>
    </row>
    <row r="112" spans="1:14" ht="20.100000000000001" customHeight="1" x14ac:dyDescent="0.35">
      <c r="A112" s="271"/>
      <c r="B112" s="59" t="s">
        <v>298</v>
      </c>
      <c r="C112" s="22" t="s">
        <v>57</v>
      </c>
      <c r="D112" s="45" t="s">
        <v>299</v>
      </c>
      <c r="E112" s="135">
        <v>2</v>
      </c>
      <c r="F112" s="135">
        <v>0</v>
      </c>
      <c r="G112" s="91">
        <f>3130903+227976</f>
        <v>3358879</v>
      </c>
      <c r="H112" s="91">
        <v>0</v>
      </c>
      <c r="I112" s="261"/>
      <c r="J112" s="261"/>
      <c r="K112" s="141"/>
      <c r="L112" s="265"/>
      <c r="M112" s="263"/>
      <c r="N112" s="5"/>
    </row>
    <row r="113" spans="1:14" ht="20.100000000000001" customHeight="1" x14ac:dyDescent="0.35">
      <c r="A113" s="271"/>
      <c r="B113" s="59" t="s">
        <v>300</v>
      </c>
      <c r="C113" s="22" t="s">
        <v>301</v>
      </c>
      <c r="D113" s="45" t="s">
        <v>125</v>
      </c>
      <c r="E113" s="135">
        <v>3</v>
      </c>
      <c r="F113" s="135">
        <v>0</v>
      </c>
      <c r="G113" s="91">
        <f>41819+92000+108064</f>
        <v>241883</v>
      </c>
      <c r="H113" s="91">
        <v>0</v>
      </c>
      <c r="I113" s="261"/>
      <c r="J113" s="261"/>
      <c r="K113" s="141"/>
      <c r="L113" s="265"/>
      <c r="M113" s="263"/>
      <c r="N113" s="96"/>
    </row>
    <row r="114" spans="1:14" ht="20.100000000000001" customHeight="1" x14ac:dyDescent="0.35">
      <c r="A114" s="271"/>
      <c r="B114" s="59" t="s">
        <v>302</v>
      </c>
      <c r="C114" s="22" t="s">
        <v>58</v>
      </c>
      <c r="D114" s="45" t="s">
        <v>299</v>
      </c>
      <c r="E114" s="135">
        <v>1</v>
      </c>
      <c r="F114" s="135">
        <v>0</v>
      </c>
      <c r="G114" s="91">
        <v>221460.08</v>
      </c>
      <c r="H114" s="91">
        <v>0</v>
      </c>
      <c r="I114" s="261"/>
      <c r="J114" s="261"/>
      <c r="K114" s="141"/>
      <c r="L114" s="265"/>
      <c r="M114" s="263"/>
      <c r="N114" s="5"/>
    </row>
    <row r="115" spans="1:14" ht="20.100000000000001" customHeight="1" x14ac:dyDescent="0.35">
      <c r="A115" s="271"/>
      <c r="B115" s="59" t="s">
        <v>303</v>
      </c>
      <c r="C115" s="22" t="s">
        <v>32</v>
      </c>
      <c r="D115" s="45" t="s">
        <v>292</v>
      </c>
      <c r="E115" s="135">
        <v>1</v>
      </c>
      <c r="F115" s="135">
        <v>0</v>
      </c>
      <c r="G115" s="91">
        <v>698160</v>
      </c>
      <c r="H115" s="91">
        <v>0</v>
      </c>
      <c r="I115" s="261"/>
      <c r="J115" s="261"/>
      <c r="K115" s="141"/>
      <c r="L115" s="265"/>
      <c r="M115" s="263"/>
      <c r="N115" s="5"/>
    </row>
    <row r="116" spans="1:14" ht="20.100000000000001" customHeight="1" thickBot="1" x14ac:dyDescent="0.4">
      <c r="A116" s="267"/>
      <c r="B116" s="106" t="s">
        <v>304</v>
      </c>
      <c r="C116" s="24" t="s">
        <v>55</v>
      </c>
      <c r="D116" s="55" t="s">
        <v>130</v>
      </c>
      <c r="E116" s="135">
        <v>2</v>
      </c>
      <c r="F116" s="135">
        <v>0</v>
      </c>
      <c r="G116" s="91">
        <f>238000+93500</f>
        <v>331500</v>
      </c>
      <c r="H116" s="91">
        <v>0</v>
      </c>
      <c r="I116" s="261"/>
      <c r="J116" s="261"/>
      <c r="K116" s="135"/>
      <c r="L116" s="265"/>
      <c r="M116" s="263"/>
      <c r="N116" s="5"/>
    </row>
    <row r="117" spans="1:14" ht="20.100000000000001" customHeight="1" x14ac:dyDescent="0.35">
      <c r="A117" s="243">
        <v>36</v>
      </c>
      <c r="B117" s="46" t="s">
        <v>305</v>
      </c>
      <c r="C117" s="53" t="s">
        <v>16</v>
      </c>
      <c r="D117" s="36" t="s">
        <v>306</v>
      </c>
      <c r="E117" s="139">
        <v>2</v>
      </c>
      <c r="F117" s="139">
        <v>0</v>
      </c>
      <c r="G117" s="93">
        <f>190964.45+1559736</f>
        <v>1750700.45</v>
      </c>
      <c r="H117" s="93">
        <v>0</v>
      </c>
      <c r="I117" s="260">
        <v>3034212.21</v>
      </c>
      <c r="J117" s="260">
        <v>0</v>
      </c>
      <c r="K117" s="139"/>
      <c r="L117" s="246" t="s">
        <v>131</v>
      </c>
      <c r="M117" s="249" t="s">
        <v>132</v>
      </c>
      <c r="N117" s="5"/>
    </row>
    <row r="118" spans="1:14" ht="20.100000000000001" customHeight="1" thickBot="1" x14ac:dyDescent="0.4">
      <c r="A118" s="245"/>
      <c r="B118" s="47" t="s">
        <v>307</v>
      </c>
      <c r="C118" s="24" t="s">
        <v>13</v>
      </c>
      <c r="D118" s="38" t="s">
        <v>132</v>
      </c>
      <c r="E118" s="142">
        <v>2</v>
      </c>
      <c r="F118" s="142">
        <v>0</v>
      </c>
      <c r="G118" s="88">
        <f>178102.54+1105409.22</f>
        <v>1283511.76</v>
      </c>
      <c r="H118" s="88">
        <v>0</v>
      </c>
      <c r="I118" s="268"/>
      <c r="J118" s="268"/>
      <c r="K118" s="142"/>
      <c r="L118" s="248"/>
      <c r="M118" s="251"/>
      <c r="N118" s="96"/>
    </row>
    <row r="119" spans="1:14" ht="20.100000000000001" customHeight="1" thickBot="1" x14ac:dyDescent="0.4">
      <c r="A119" s="133">
        <v>37</v>
      </c>
      <c r="B119" s="105" t="s">
        <v>133</v>
      </c>
      <c r="C119" s="50" t="s">
        <v>12</v>
      </c>
      <c r="D119" s="51" t="s">
        <v>135</v>
      </c>
      <c r="E119" s="136">
        <v>3</v>
      </c>
      <c r="F119" s="136">
        <v>0</v>
      </c>
      <c r="G119" s="92">
        <v>5114252.2</v>
      </c>
      <c r="H119" s="92">
        <v>0</v>
      </c>
      <c r="I119" s="92">
        <v>5114252.2</v>
      </c>
      <c r="J119" s="92">
        <v>0</v>
      </c>
      <c r="K119" s="136"/>
      <c r="L119" s="134" t="s">
        <v>134</v>
      </c>
      <c r="M119" s="125" t="s">
        <v>135</v>
      </c>
      <c r="N119" s="5"/>
    </row>
    <row r="120" spans="1:14" ht="20.100000000000001" customHeight="1" x14ac:dyDescent="0.35">
      <c r="A120" s="243">
        <v>38</v>
      </c>
      <c r="B120" s="46" t="s">
        <v>308</v>
      </c>
      <c r="C120" s="53" t="s">
        <v>54</v>
      </c>
      <c r="D120" s="36" t="s">
        <v>135</v>
      </c>
      <c r="E120" s="134">
        <v>1</v>
      </c>
      <c r="F120" s="134">
        <v>0</v>
      </c>
      <c r="G120" s="90">
        <v>64929.59</v>
      </c>
      <c r="H120" s="90">
        <v>0</v>
      </c>
      <c r="I120" s="260">
        <v>515831576.75</v>
      </c>
      <c r="J120" s="260">
        <v>0</v>
      </c>
      <c r="K120" s="139"/>
      <c r="L120" s="246" t="s">
        <v>136</v>
      </c>
      <c r="M120" s="249" t="s">
        <v>135</v>
      </c>
      <c r="N120" s="96"/>
    </row>
    <row r="121" spans="1:14" ht="20.100000000000001" customHeight="1" x14ac:dyDescent="0.35">
      <c r="A121" s="271"/>
      <c r="B121" s="59" t="s">
        <v>309</v>
      </c>
      <c r="C121" s="22" t="s">
        <v>51</v>
      </c>
      <c r="D121" s="45" t="s">
        <v>125</v>
      </c>
      <c r="E121" s="135">
        <v>1</v>
      </c>
      <c r="F121" s="135">
        <v>0</v>
      </c>
      <c r="G121" s="91">
        <v>385576.8</v>
      </c>
      <c r="H121" s="91">
        <v>0</v>
      </c>
      <c r="I121" s="261"/>
      <c r="J121" s="261"/>
      <c r="K121" s="141"/>
      <c r="L121" s="276"/>
      <c r="M121" s="277"/>
      <c r="N121" s="96"/>
    </row>
    <row r="122" spans="1:14" ht="20.100000000000001" customHeight="1" x14ac:dyDescent="0.35">
      <c r="A122" s="271"/>
      <c r="B122" s="59" t="s">
        <v>310</v>
      </c>
      <c r="C122" s="53" t="s">
        <v>21</v>
      </c>
      <c r="D122" s="45" t="s">
        <v>135</v>
      </c>
      <c r="E122" s="135">
        <v>1</v>
      </c>
      <c r="F122" s="135">
        <v>0</v>
      </c>
      <c r="G122" s="91">
        <v>515236302.36000001</v>
      </c>
      <c r="H122" s="91">
        <v>0</v>
      </c>
      <c r="I122" s="261"/>
      <c r="J122" s="261"/>
      <c r="K122" s="141"/>
      <c r="L122" s="276"/>
      <c r="M122" s="277"/>
      <c r="N122" s="96"/>
    </row>
    <row r="123" spans="1:14" ht="20.100000000000001" customHeight="1" thickBot="1" x14ac:dyDescent="0.4">
      <c r="A123" s="242"/>
      <c r="B123" s="105" t="s">
        <v>311</v>
      </c>
      <c r="C123" s="24" t="s">
        <v>19</v>
      </c>
      <c r="D123" s="51" t="s">
        <v>135</v>
      </c>
      <c r="E123" s="136">
        <v>1</v>
      </c>
      <c r="F123" s="136">
        <v>0</v>
      </c>
      <c r="G123" s="92">
        <v>144768</v>
      </c>
      <c r="H123" s="92">
        <v>0</v>
      </c>
      <c r="I123" s="268"/>
      <c r="J123" s="268"/>
      <c r="K123" s="136"/>
      <c r="L123" s="269"/>
      <c r="M123" s="270"/>
      <c r="N123" s="96"/>
    </row>
    <row r="124" spans="1:14" ht="24" customHeight="1" thickBot="1" x14ac:dyDescent="0.3">
      <c r="A124" s="25">
        <v>39</v>
      </c>
      <c r="B124" s="77" t="s">
        <v>312</v>
      </c>
      <c r="C124" s="53" t="s">
        <v>179</v>
      </c>
      <c r="D124" s="39" t="s">
        <v>306</v>
      </c>
      <c r="E124" s="21">
        <v>1</v>
      </c>
      <c r="F124" s="21">
        <v>0</v>
      </c>
      <c r="G124" s="168">
        <v>253300</v>
      </c>
      <c r="H124" s="168">
        <v>0</v>
      </c>
      <c r="I124" s="168">
        <v>253300</v>
      </c>
      <c r="J124" s="168">
        <v>0</v>
      </c>
      <c r="K124" s="21"/>
      <c r="L124" s="21" t="s">
        <v>137</v>
      </c>
      <c r="M124" s="27" t="s">
        <v>138</v>
      </c>
      <c r="N124" s="5"/>
    </row>
    <row r="125" spans="1:14" ht="16.5" x14ac:dyDescent="0.25">
      <c r="A125" s="243">
        <v>40</v>
      </c>
      <c r="B125" s="48" t="s">
        <v>313</v>
      </c>
      <c r="C125" s="23" t="s">
        <v>30</v>
      </c>
      <c r="D125" s="36" t="s">
        <v>314</v>
      </c>
      <c r="E125" s="139">
        <v>3</v>
      </c>
      <c r="F125" s="139">
        <v>0</v>
      </c>
      <c r="G125" s="144">
        <f>2864273+288500.76+358646</f>
        <v>3511419.76</v>
      </c>
      <c r="H125" s="144">
        <v>0</v>
      </c>
      <c r="I125" s="252">
        <v>10629776.310000001</v>
      </c>
      <c r="J125" s="252">
        <v>878939.52</v>
      </c>
      <c r="K125" s="139"/>
      <c r="L125" s="264" t="s">
        <v>139</v>
      </c>
      <c r="M125" s="262" t="s">
        <v>138</v>
      </c>
      <c r="N125" s="5"/>
    </row>
    <row r="126" spans="1:14" ht="16.5" x14ac:dyDescent="0.25">
      <c r="A126" s="244"/>
      <c r="B126" s="75" t="s">
        <v>315</v>
      </c>
      <c r="C126" s="22" t="s">
        <v>18</v>
      </c>
      <c r="D126" s="37" t="s">
        <v>314</v>
      </c>
      <c r="E126" s="143">
        <v>2</v>
      </c>
      <c r="F126" s="143">
        <v>1</v>
      </c>
      <c r="G126" s="145">
        <f>240564.17+294000</f>
        <v>534564.17000000004</v>
      </c>
      <c r="H126" s="145">
        <v>878939.52</v>
      </c>
      <c r="I126" s="253"/>
      <c r="J126" s="253"/>
      <c r="K126" s="143"/>
      <c r="L126" s="265"/>
      <c r="M126" s="263"/>
      <c r="N126" s="96"/>
    </row>
    <row r="127" spans="1:14" ht="16.5" x14ac:dyDescent="0.25">
      <c r="A127" s="244"/>
      <c r="B127" s="75" t="s">
        <v>316</v>
      </c>
      <c r="C127" s="22" t="s">
        <v>33</v>
      </c>
      <c r="D127" s="37" t="s">
        <v>138</v>
      </c>
      <c r="E127" s="143">
        <v>4</v>
      </c>
      <c r="F127" s="143">
        <v>0</v>
      </c>
      <c r="G127" s="145">
        <f>273600+305580+387665+99922.4</f>
        <v>1066767.3999999999</v>
      </c>
      <c r="H127" s="145">
        <v>0</v>
      </c>
      <c r="I127" s="253"/>
      <c r="J127" s="253"/>
      <c r="K127" s="143"/>
      <c r="L127" s="265"/>
      <c r="M127" s="263"/>
      <c r="N127" s="5"/>
    </row>
    <row r="128" spans="1:14" ht="20.100000000000001" customHeight="1" x14ac:dyDescent="0.25">
      <c r="A128" s="244"/>
      <c r="B128" s="75" t="s">
        <v>317</v>
      </c>
      <c r="C128" s="22" t="s">
        <v>26</v>
      </c>
      <c r="D128" s="37" t="s">
        <v>135</v>
      </c>
      <c r="E128" s="143">
        <v>3</v>
      </c>
      <c r="F128" s="143">
        <v>0</v>
      </c>
      <c r="G128" s="94">
        <f>176384.98+506000+54340</f>
        <v>736724.98</v>
      </c>
      <c r="H128" s="94">
        <v>0</v>
      </c>
      <c r="I128" s="253"/>
      <c r="J128" s="253"/>
      <c r="K128" s="143"/>
      <c r="L128" s="265"/>
      <c r="M128" s="263"/>
      <c r="N128" s="5"/>
    </row>
    <row r="129" spans="1:14" ht="17.25" thickBot="1" x14ac:dyDescent="0.3">
      <c r="A129" s="245"/>
      <c r="B129" s="60" t="s">
        <v>318</v>
      </c>
      <c r="C129" s="24" t="s">
        <v>55</v>
      </c>
      <c r="D129" s="38" t="s">
        <v>314</v>
      </c>
      <c r="E129" s="142">
        <v>3</v>
      </c>
      <c r="F129" s="142">
        <v>0</v>
      </c>
      <c r="G129" s="88">
        <f>225000+4450000+105300</f>
        <v>4780300</v>
      </c>
      <c r="H129" s="88">
        <v>0</v>
      </c>
      <c r="I129" s="254"/>
      <c r="J129" s="254"/>
      <c r="K129" s="142"/>
      <c r="L129" s="269"/>
      <c r="M129" s="270"/>
      <c r="N129" s="96"/>
    </row>
    <row r="130" spans="1:14" ht="20.25" customHeight="1" x14ac:dyDescent="0.25">
      <c r="A130" s="241">
        <v>41</v>
      </c>
      <c r="B130" s="48" t="s">
        <v>319</v>
      </c>
      <c r="C130" s="22" t="s">
        <v>11</v>
      </c>
      <c r="D130" s="36" t="s">
        <v>138</v>
      </c>
      <c r="E130" s="134">
        <v>12</v>
      </c>
      <c r="F130" s="134">
        <v>0</v>
      </c>
      <c r="G130" s="144">
        <v>7243385.2400000002</v>
      </c>
      <c r="H130" s="144">
        <v>0</v>
      </c>
      <c r="I130" s="278">
        <v>8533630.1300000008</v>
      </c>
      <c r="J130" s="260">
        <v>0</v>
      </c>
      <c r="K130" s="139"/>
      <c r="L130" s="264" t="s">
        <v>140</v>
      </c>
      <c r="M130" s="262" t="s">
        <v>141</v>
      </c>
      <c r="N130" s="5"/>
    </row>
    <row r="131" spans="1:14" ht="20.25" customHeight="1" x14ac:dyDescent="0.25">
      <c r="A131" s="267"/>
      <c r="B131" s="56" t="s">
        <v>320</v>
      </c>
      <c r="C131" s="22" t="s">
        <v>13</v>
      </c>
      <c r="D131" s="55" t="s">
        <v>141</v>
      </c>
      <c r="E131" s="135">
        <v>2</v>
      </c>
      <c r="F131" s="135">
        <v>0</v>
      </c>
      <c r="G131" s="128">
        <f>69900+449100</f>
        <v>519000</v>
      </c>
      <c r="H131" s="128">
        <v>0</v>
      </c>
      <c r="I131" s="279"/>
      <c r="J131" s="261"/>
      <c r="K131" s="135"/>
      <c r="L131" s="265"/>
      <c r="M131" s="263"/>
      <c r="N131" s="96"/>
    </row>
    <row r="132" spans="1:14" ht="18.75" customHeight="1" thickBot="1" x14ac:dyDescent="0.3">
      <c r="A132" s="242"/>
      <c r="B132" s="69" t="s">
        <v>321</v>
      </c>
      <c r="C132" s="24" t="s">
        <v>35</v>
      </c>
      <c r="D132" s="51" t="s">
        <v>314</v>
      </c>
      <c r="E132" s="136">
        <v>3</v>
      </c>
      <c r="F132" s="136">
        <v>0</v>
      </c>
      <c r="G132" s="146">
        <f>182780.32+208339.32+380125.25</f>
        <v>771244.89</v>
      </c>
      <c r="H132" s="146">
        <v>0</v>
      </c>
      <c r="I132" s="280"/>
      <c r="J132" s="268"/>
      <c r="K132" s="136"/>
      <c r="L132" s="269"/>
      <c r="M132" s="270"/>
      <c r="N132" s="96"/>
    </row>
    <row r="133" spans="1:14" ht="21.75" customHeight="1" thickBot="1" x14ac:dyDescent="0.4">
      <c r="A133" s="25">
        <v>42</v>
      </c>
      <c r="B133" s="107" t="s">
        <v>142</v>
      </c>
      <c r="C133" s="26" t="s">
        <v>20</v>
      </c>
      <c r="D133" s="39" t="s">
        <v>314</v>
      </c>
      <c r="E133" s="21">
        <v>2</v>
      </c>
      <c r="F133" s="21">
        <v>0</v>
      </c>
      <c r="G133" s="175">
        <v>11868122.52</v>
      </c>
      <c r="H133" s="168">
        <v>0</v>
      </c>
      <c r="I133" s="175">
        <v>11868122.52</v>
      </c>
      <c r="J133" s="168">
        <v>0</v>
      </c>
      <c r="K133" s="21"/>
      <c r="L133" s="21" t="s">
        <v>143</v>
      </c>
      <c r="M133" s="27" t="s">
        <v>144</v>
      </c>
      <c r="N133" s="96"/>
    </row>
    <row r="134" spans="1:14" ht="21.75" customHeight="1" thickBot="1" x14ac:dyDescent="0.4">
      <c r="A134" s="25">
        <v>43</v>
      </c>
      <c r="B134" s="107" t="s">
        <v>145</v>
      </c>
      <c r="C134" s="26" t="s">
        <v>22</v>
      </c>
      <c r="D134" s="39" t="s">
        <v>147</v>
      </c>
      <c r="E134" s="21">
        <v>23</v>
      </c>
      <c r="F134" s="21">
        <v>0</v>
      </c>
      <c r="G134" s="168">
        <v>78918894.299999997</v>
      </c>
      <c r="H134" s="168">
        <v>0</v>
      </c>
      <c r="I134" s="168">
        <v>78918894.299999997</v>
      </c>
      <c r="J134" s="168">
        <v>0</v>
      </c>
      <c r="K134" s="21"/>
      <c r="L134" s="21" t="s">
        <v>146</v>
      </c>
      <c r="M134" s="27" t="s">
        <v>147</v>
      </c>
      <c r="N134" s="96"/>
    </row>
    <row r="135" spans="1:14" ht="20.100000000000001" customHeight="1" x14ac:dyDescent="0.35">
      <c r="A135" s="267">
        <v>44</v>
      </c>
      <c r="B135" s="59" t="s">
        <v>322</v>
      </c>
      <c r="C135" s="22" t="s">
        <v>56</v>
      </c>
      <c r="D135" s="45" t="s">
        <v>149</v>
      </c>
      <c r="E135" s="135">
        <v>8</v>
      </c>
      <c r="F135" s="135">
        <v>0</v>
      </c>
      <c r="G135" s="91">
        <f>480000+68999+240100+77600+54639.9+102000+261268.83+947820.64</f>
        <v>2232428.37</v>
      </c>
      <c r="H135" s="91">
        <v>0</v>
      </c>
      <c r="I135" s="261">
        <v>2444906.73</v>
      </c>
      <c r="J135" s="261">
        <v>0</v>
      </c>
      <c r="K135" s="104"/>
      <c r="L135" s="265" t="s">
        <v>148</v>
      </c>
      <c r="M135" s="263" t="s">
        <v>149</v>
      </c>
      <c r="N135" s="96"/>
    </row>
    <row r="136" spans="1:14" ht="20.100000000000001" customHeight="1" thickBot="1" x14ac:dyDescent="0.4">
      <c r="A136" s="267"/>
      <c r="B136" s="106" t="s">
        <v>323</v>
      </c>
      <c r="C136" s="24" t="s">
        <v>23</v>
      </c>
      <c r="D136" s="55" t="s">
        <v>149</v>
      </c>
      <c r="E136" s="135">
        <v>2</v>
      </c>
      <c r="F136" s="135">
        <v>0</v>
      </c>
      <c r="G136" s="91">
        <f>77010+135468.36</f>
        <v>212478.36</v>
      </c>
      <c r="H136" s="91">
        <v>0</v>
      </c>
      <c r="I136" s="261"/>
      <c r="J136" s="261"/>
      <c r="K136" s="135"/>
      <c r="L136" s="265"/>
      <c r="M136" s="263"/>
      <c r="N136" s="96"/>
    </row>
    <row r="137" spans="1:14" ht="20.100000000000001" customHeight="1" x14ac:dyDescent="0.35">
      <c r="A137" s="243">
        <v>45</v>
      </c>
      <c r="B137" s="46" t="s">
        <v>324</v>
      </c>
      <c r="C137" s="23" t="s">
        <v>20</v>
      </c>
      <c r="D137" s="36" t="s">
        <v>149</v>
      </c>
      <c r="E137" s="139">
        <v>6</v>
      </c>
      <c r="F137" s="139">
        <v>0</v>
      </c>
      <c r="G137" s="93">
        <f>81319.58+5820693.22+324551.03+4250000+2598885+323245.44</f>
        <v>13398694.27</v>
      </c>
      <c r="H137" s="93">
        <v>0</v>
      </c>
      <c r="I137" s="255">
        <v>18452010.690000001</v>
      </c>
      <c r="J137" s="255">
        <v>0</v>
      </c>
      <c r="K137" s="139"/>
      <c r="L137" s="246" t="s">
        <v>150</v>
      </c>
      <c r="M137" s="249" t="s">
        <v>149</v>
      </c>
      <c r="N137" s="5"/>
    </row>
    <row r="138" spans="1:14" ht="20.100000000000001" customHeight="1" x14ac:dyDescent="0.35">
      <c r="A138" s="244"/>
      <c r="B138" s="44" t="s">
        <v>325</v>
      </c>
      <c r="C138" s="22" t="s">
        <v>31</v>
      </c>
      <c r="D138" s="37" t="s">
        <v>144</v>
      </c>
      <c r="E138" s="143">
        <v>8</v>
      </c>
      <c r="F138" s="143">
        <v>0</v>
      </c>
      <c r="G138" s="94">
        <f>465072+668521.4+1049500+913500+76551.8+61500+256500+309600</f>
        <v>3800745.1999999997</v>
      </c>
      <c r="H138" s="94">
        <v>0</v>
      </c>
      <c r="I138" s="266"/>
      <c r="J138" s="266"/>
      <c r="K138" s="143"/>
      <c r="L138" s="247"/>
      <c r="M138" s="250"/>
      <c r="N138" s="96"/>
    </row>
    <row r="139" spans="1:14" ht="20.100000000000001" customHeight="1" thickBot="1" x14ac:dyDescent="0.4">
      <c r="A139" s="245"/>
      <c r="B139" s="47" t="s">
        <v>326</v>
      </c>
      <c r="C139" s="24" t="s">
        <v>11</v>
      </c>
      <c r="D139" s="38" t="s">
        <v>149</v>
      </c>
      <c r="E139" s="142">
        <v>2</v>
      </c>
      <c r="F139" s="142">
        <v>0</v>
      </c>
      <c r="G139" s="88">
        <f>949421.22+303150</f>
        <v>1252571.22</v>
      </c>
      <c r="H139" s="88">
        <v>0</v>
      </c>
      <c r="I139" s="256"/>
      <c r="J139" s="256"/>
      <c r="K139" s="142"/>
      <c r="L139" s="248"/>
      <c r="M139" s="251"/>
      <c r="N139" s="5"/>
    </row>
    <row r="140" spans="1:14" ht="20.100000000000001" customHeight="1" thickBot="1" x14ac:dyDescent="0.3">
      <c r="A140" s="25">
        <v>46</v>
      </c>
      <c r="B140" s="163" t="s">
        <v>151</v>
      </c>
      <c r="C140" s="26" t="s">
        <v>12</v>
      </c>
      <c r="D140" s="39" t="s">
        <v>153</v>
      </c>
      <c r="E140" s="21">
        <v>3</v>
      </c>
      <c r="F140" s="21">
        <v>0</v>
      </c>
      <c r="G140" s="168">
        <v>671224.13</v>
      </c>
      <c r="H140" s="168">
        <v>0</v>
      </c>
      <c r="I140" s="168">
        <v>671224.13</v>
      </c>
      <c r="J140" s="168">
        <v>0</v>
      </c>
      <c r="K140" s="21"/>
      <c r="L140" s="21" t="s">
        <v>152</v>
      </c>
      <c r="M140" s="27" t="s">
        <v>153</v>
      </c>
      <c r="N140" s="5"/>
    </row>
    <row r="141" spans="1:14" ht="20.100000000000001" customHeight="1" thickBot="1" x14ac:dyDescent="0.4">
      <c r="A141" s="187">
        <v>47</v>
      </c>
      <c r="B141" s="105" t="s">
        <v>327</v>
      </c>
      <c r="C141" s="50" t="s">
        <v>55</v>
      </c>
      <c r="D141" s="51" t="s">
        <v>153</v>
      </c>
      <c r="E141" s="185">
        <v>6</v>
      </c>
      <c r="F141" s="185">
        <v>0</v>
      </c>
      <c r="G141" s="192">
        <v>1070787.54</v>
      </c>
      <c r="H141" s="192">
        <v>0</v>
      </c>
      <c r="I141" s="192">
        <v>1070787.54</v>
      </c>
      <c r="J141" s="192">
        <v>0</v>
      </c>
      <c r="K141" s="185"/>
      <c r="L141" s="185" t="s">
        <v>154</v>
      </c>
      <c r="M141" s="210" t="s">
        <v>153</v>
      </c>
      <c r="N141" s="5"/>
    </row>
    <row r="142" spans="1:14" ht="20.100000000000001" customHeight="1" x14ac:dyDescent="0.35">
      <c r="A142" s="241">
        <v>48</v>
      </c>
      <c r="B142" s="46" t="s">
        <v>328</v>
      </c>
      <c r="C142" s="22" t="s">
        <v>17</v>
      </c>
      <c r="D142" s="36" t="s">
        <v>149</v>
      </c>
      <c r="E142" s="134">
        <v>1</v>
      </c>
      <c r="F142" s="134">
        <v>0</v>
      </c>
      <c r="G142" s="90">
        <v>49696.29</v>
      </c>
      <c r="H142" s="90">
        <v>0</v>
      </c>
      <c r="I142" s="260">
        <v>2148032.29</v>
      </c>
      <c r="J142" s="260">
        <v>0</v>
      </c>
      <c r="K142" s="103"/>
      <c r="L142" s="264" t="s">
        <v>177</v>
      </c>
      <c r="M142" s="262" t="s">
        <v>156</v>
      </c>
      <c r="N142" s="96"/>
    </row>
    <row r="143" spans="1:14" ht="20.100000000000001" customHeight="1" thickBot="1" x14ac:dyDescent="0.4">
      <c r="A143" s="267"/>
      <c r="B143" s="59" t="s">
        <v>329</v>
      </c>
      <c r="C143" s="22" t="s">
        <v>31</v>
      </c>
      <c r="D143" s="45" t="s">
        <v>156</v>
      </c>
      <c r="E143" s="135">
        <v>5</v>
      </c>
      <c r="F143" s="135">
        <v>0</v>
      </c>
      <c r="G143" s="91">
        <v>2098336</v>
      </c>
      <c r="H143" s="91">
        <v>0</v>
      </c>
      <c r="I143" s="261"/>
      <c r="J143" s="261"/>
      <c r="K143" s="104"/>
      <c r="L143" s="265"/>
      <c r="M143" s="263"/>
      <c r="N143" s="5"/>
    </row>
    <row r="144" spans="1:14" ht="20.100000000000001" customHeight="1" x14ac:dyDescent="0.35">
      <c r="A144" s="241">
        <v>49</v>
      </c>
      <c r="B144" s="46" t="s">
        <v>330</v>
      </c>
      <c r="C144" s="23" t="s">
        <v>30</v>
      </c>
      <c r="D144" s="36" t="s">
        <v>159</v>
      </c>
      <c r="E144" s="134">
        <v>1</v>
      </c>
      <c r="F144" s="134">
        <v>0</v>
      </c>
      <c r="G144" s="90">
        <v>576000</v>
      </c>
      <c r="H144" s="90">
        <v>0</v>
      </c>
      <c r="I144" s="260">
        <v>6881301.1699999999</v>
      </c>
      <c r="J144" s="260">
        <v>7032500</v>
      </c>
      <c r="K144" s="103"/>
      <c r="L144" s="264" t="s">
        <v>155</v>
      </c>
      <c r="M144" s="262" t="s">
        <v>158</v>
      </c>
      <c r="N144" s="5"/>
    </row>
    <row r="145" spans="1:14" ht="20.100000000000001" customHeight="1" x14ac:dyDescent="0.35">
      <c r="A145" s="267"/>
      <c r="B145" s="106" t="s">
        <v>331</v>
      </c>
      <c r="C145" s="22" t="s">
        <v>18</v>
      </c>
      <c r="D145" s="55" t="s">
        <v>158</v>
      </c>
      <c r="E145" s="135">
        <v>1</v>
      </c>
      <c r="F145" s="135">
        <v>0</v>
      </c>
      <c r="G145" s="91">
        <v>293280</v>
      </c>
      <c r="H145" s="91">
        <v>0</v>
      </c>
      <c r="I145" s="261"/>
      <c r="J145" s="261"/>
      <c r="K145" s="135"/>
      <c r="L145" s="265"/>
      <c r="M145" s="263"/>
      <c r="N145" s="5"/>
    </row>
    <row r="146" spans="1:14" ht="20.100000000000001" customHeight="1" x14ac:dyDescent="0.35">
      <c r="A146" s="267"/>
      <c r="B146" s="106" t="s">
        <v>332</v>
      </c>
      <c r="C146" s="53" t="s">
        <v>21</v>
      </c>
      <c r="D146" s="55" t="s">
        <v>333</v>
      </c>
      <c r="E146" s="135">
        <v>1</v>
      </c>
      <c r="F146" s="135">
        <v>0</v>
      </c>
      <c r="G146" s="91">
        <v>112783.5</v>
      </c>
      <c r="H146" s="91">
        <v>0</v>
      </c>
      <c r="I146" s="261"/>
      <c r="J146" s="261"/>
      <c r="K146" s="135"/>
      <c r="L146" s="265"/>
      <c r="M146" s="263"/>
      <c r="N146" s="96"/>
    </row>
    <row r="147" spans="1:14" ht="20.100000000000001" customHeight="1" x14ac:dyDescent="0.35">
      <c r="A147" s="267"/>
      <c r="B147" s="106" t="s">
        <v>334</v>
      </c>
      <c r="C147" s="22" t="s">
        <v>15</v>
      </c>
      <c r="D147" s="55" t="s">
        <v>156</v>
      </c>
      <c r="E147" s="135">
        <v>7</v>
      </c>
      <c r="F147" s="135">
        <v>0</v>
      </c>
      <c r="G147" s="91">
        <f>600000+141750+629613.76+230368+100800+218400+140341.91</f>
        <v>2061273.67</v>
      </c>
      <c r="H147" s="91">
        <v>0</v>
      </c>
      <c r="I147" s="261"/>
      <c r="J147" s="261"/>
      <c r="K147" s="135"/>
      <c r="L147" s="265"/>
      <c r="M147" s="263"/>
      <c r="N147" s="5"/>
    </row>
    <row r="148" spans="1:14" ht="20.100000000000001" customHeight="1" thickBot="1" x14ac:dyDescent="0.4">
      <c r="A148" s="267"/>
      <c r="B148" s="106" t="s">
        <v>335</v>
      </c>
      <c r="C148" s="24" t="s">
        <v>11</v>
      </c>
      <c r="D148" s="55" t="s">
        <v>158</v>
      </c>
      <c r="E148" s="135">
        <v>4</v>
      </c>
      <c r="F148" s="135">
        <v>1</v>
      </c>
      <c r="G148" s="91">
        <f>98000+846000+211964+2682000</f>
        <v>3837964</v>
      </c>
      <c r="H148" s="91">
        <v>7032500</v>
      </c>
      <c r="I148" s="261"/>
      <c r="J148" s="261"/>
      <c r="K148" s="135"/>
      <c r="L148" s="265"/>
      <c r="M148" s="263"/>
      <c r="N148" s="5"/>
    </row>
    <row r="149" spans="1:14" ht="20.100000000000001" customHeight="1" x14ac:dyDescent="0.35">
      <c r="A149" s="243">
        <v>50</v>
      </c>
      <c r="B149" s="46" t="s">
        <v>336</v>
      </c>
      <c r="C149" s="23" t="s">
        <v>55</v>
      </c>
      <c r="D149" s="36" t="s">
        <v>159</v>
      </c>
      <c r="E149" s="139">
        <v>6</v>
      </c>
      <c r="F149" s="139">
        <v>0</v>
      </c>
      <c r="G149" s="93">
        <f>52102.8+592968+368239+84660.55+292500+355656</f>
        <v>1746126.35</v>
      </c>
      <c r="H149" s="93">
        <v>0</v>
      </c>
      <c r="I149" s="255">
        <v>2628703.52</v>
      </c>
      <c r="J149" s="255">
        <v>0</v>
      </c>
      <c r="K149" s="139"/>
      <c r="L149" s="246" t="s">
        <v>157</v>
      </c>
      <c r="M149" s="249" t="s">
        <v>159</v>
      </c>
      <c r="N149" s="5"/>
    </row>
    <row r="150" spans="1:14" ht="20.100000000000001" customHeight="1" x14ac:dyDescent="0.35">
      <c r="A150" s="244"/>
      <c r="B150" s="44" t="s">
        <v>337</v>
      </c>
      <c r="C150" s="22" t="s">
        <v>28</v>
      </c>
      <c r="D150" s="37" t="s">
        <v>158</v>
      </c>
      <c r="E150" s="143">
        <v>2</v>
      </c>
      <c r="F150" s="143">
        <v>0</v>
      </c>
      <c r="G150" s="94">
        <f>152925.76+244521.6</f>
        <v>397447.36</v>
      </c>
      <c r="H150" s="94">
        <v>0</v>
      </c>
      <c r="I150" s="266"/>
      <c r="J150" s="266"/>
      <c r="K150" s="143"/>
      <c r="L150" s="247"/>
      <c r="M150" s="250"/>
      <c r="N150" s="96"/>
    </row>
    <row r="151" spans="1:14" ht="20.100000000000001" customHeight="1" thickBot="1" x14ac:dyDescent="0.4">
      <c r="A151" s="245"/>
      <c r="B151" s="47" t="s">
        <v>338</v>
      </c>
      <c r="C151" s="24" t="s">
        <v>13</v>
      </c>
      <c r="D151" s="38" t="s">
        <v>159</v>
      </c>
      <c r="E151" s="142">
        <v>4</v>
      </c>
      <c r="F151" s="142">
        <v>0</v>
      </c>
      <c r="G151" s="88">
        <f>189410.52+97833.49+104300+93585.8</f>
        <v>485129.81</v>
      </c>
      <c r="H151" s="88">
        <v>0</v>
      </c>
      <c r="I151" s="256"/>
      <c r="J151" s="256"/>
      <c r="K151" s="142"/>
      <c r="L151" s="248"/>
      <c r="M151" s="251"/>
      <c r="N151" s="5"/>
    </row>
    <row r="152" spans="1:14" ht="20.100000000000001" customHeight="1" thickBot="1" x14ac:dyDescent="0.4">
      <c r="A152" s="132">
        <v>51</v>
      </c>
      <c r="B152" s="106" t="s">
        <v>160</v>
      </c>
      <c r="C152" s="54" t="s">
        <v>20</v>
      </c>
      <c r="D152" s="55" t="s">
        <v>159</v>
      </c>
      <c r="E152" s="135">
        <v>6</v>
      </c>
      <c r="F152" s="135">
        <v>0</v>
      </c>
      <c r="G152" s="138">
        <v>5306897.04</v>
      </c>
      <c r="H152" s="138">
        <v>0</v>
      </c>
      <c r="I152" s="138">
        <v>5306897.04</v>
      </c>
      <c r="J152" s="138">
        <v>0</v>
      </c>
      <c r="K152" s="135"/>
      <c r="L152" s="134" t="s">
        <v>161</v>
      </c>
      <c r="M152" s="125" t="s">
        <v>159</v>
      </c>
      <c r="N152" s="5"/>
    </row>
    <row r="153" spans="1:14" ht="20.100000000000001" customHeight="1" x14ac:dyDescent="0.35">
      <c r="A153" s="243">
        <v>52</v>
      </c>
      <c r="B153" s="46" t="s">
        <v>339</v>
      </c>
      <c r="C153" s="23" t="s">
        <v>27</v>
      </c>
      <c r="D153" s="36" t="s">
        <v>159</v>
      </c>
      <c r="E153" s="139">
        <v>1</v>
      </c>
      <c r="F153" s="139">
        <v>0</v>
      </c>
      <c r="G153" s="144">
        <v>399972.54</v>
      </c>
      <c r="H153" s="144">
        <v>0</v>
      </c>
      <c r="I153" s="252">
        <v>631972.54</v>
      </c>
      <c r="J153" s="252">
        <v>0</v>
      </c>
      <c r="K153" s="139"/>
      <c r="L153" s="246" t="s">
        <v>162</v>
      </c>
      <c r="M153" s="249" t="s">
        <v>159</v>
      </c>
      <c r="N153" s="5"/>
    </row>
    <row r="154" spans="1:14" ht="20.100000000000001" customHeight="1" thickBot="1" x14ac:dyDescent="0.4">
      <c r="A154" s="245"/>
      <c r="B154" s="47" t="s">
        <v>340</v>
      </c>
      <c r="C154" s="24" t="s">
        <v>301</v>
      </c>
      <c r="D154" s="38" t="s">
        <v>159</v>
      </c>
      <c r="E154" s="142">
        <v>1</v>
      </c>
      <c r="F154" s="142">
        <v>0</v>
      </c>
      <c r="G154" s="146">
        <v>232000</v>
      </c>
      <c r="H154" s="146">
        <v>0</v>
      </c>
      <c r="I154" s="254"/>
      <c r="J154" s="254"/>
      <c r="K154" s="142"/>
      <c r="L154" s="248"/>
      <c r="M154" s="251"/>
      <c r="N154" s="96"/>
    </row>
    <row r="155" spans="1:14" ht="20.100000000000001" customHeight="1" thickBot="1" x14ac:dyDescent="0.4">
      <c r="A155" s="25">
        <v>53</v>
      </c>
      <c r="B155" s="107" t="s">
        <v>163</v>
      </c>
      <c r="C155" s="26" t="s">
        <v>12</v>
      </c>
      <c r="D155" s="39" t="s">
        <v>165</v>
      </c>
      <c r="E155" s="21">
        <v>5</v>
      </c>
      <c r="F155" s="21">
        <v>0</v>
      </c>
      <c r="G155" s="168">
        <v>687000</v>
      </c>
      <c r="H155" s="168">
        <v>0</v>
      </c>
      <c r="I155" s="168">
        <v>687000</v>
      </c>
      <c r="J155" s="168">
        <v>0</v>
      </c>
      <c r="K155" s="21"/>
      <c r="L155" s="21" t="s">
        <v>164</v>
      </c>
      <c r="M155" s="27" t="s">
        <v>165</v>
      </c>
      <c r="N155" s="5"/>
    </row>
    <row r="156" spans="1:14" ht="20.100000000000001" customHeight="1" x14ac:dyDescent="0.35">
      <c r="A156" s="241">
        <v>54</v>
      </c>
      <c r="B156" s="46" t="s">
        <v>341</v>
      </c>
      <c r="C156" s="23" t="s">
        <v>32</v>
      </c>
      <c r="D156" s="36" t="s">
        <v>167</v>
      </c>
      <c r="E156" s="134">
        <v>1</v>
      </c>
      <c r="F156" s="134">
        <v>0</v>
      </c>
      <c r="G156" s="90">
        <v>2406377</v>
      </c>
      <c r="H156" s="90">
        <v>0</v>
      </c>
      <c r="I156" s="260">
        <v>4465829.12</v>
      </c>
      <c r="J156" s="260">
        <v>0</v>
      </c>
      <c r="K156" s="139"/>
      <c r="L156" s="264" t="s">
        <v>166</v>
      </c>
      <c r="M156" s="262" t="s">
        <v>167</v>
      </c>
      <c r="N156" s="5"/>
    </row>
    <row r="157" spans="1:14" ht="20.100000000000001" customHeight="1" x14ac:dyDescent="0.35">
      <c r="A157" s="267"/>
      <c r="B157" s="59" t="s">
        <v>342</v>
      </c>
      <c r="C157" s="22" t="s">
        <v>58</v>
      </c>
      <c r="D157" s="45" t="s">
        <v>167</v>
      </c>
      <c r="E157" s="135">
        <v>2</v>
      </c>
      <c r="F157" s="135">
        <v>0</v>
      </c>
      <c r="G157" s="91">
        <f>100841.66+177787.06</f>
        <v>278628.71999999997</v>
      </c>
      <c r="H157" s="91">
        <v>0</v>
      </c>
      <c r="I157" s="261"/>
      <c r="J157" s="261"/>
      <c r="K157" s="141"/>
      <c r="L157" s="265"/>
      <c r="M157" s="263"/>
      <c r="N157" s="96"/>
    </row>
    <row r="158" spans="1:14" ht="20.100000000000001" customHeight="1" x14ac:dyDescent="0.35">
      <c r="A158" s="267"/>
      <c r="B158" s="59" t="s">
        <v>343</v>
      </c>
      <c r="C158" s="53" t="s">
        <v>32</v>
      </c>
      <c r="D158" s="45" t="s">
        <v>159</v>
      </c>
      <c r="E158" s="135">
        <v>1</v>
      </c>
      <c r="F158" s="135">
        <v>0</v>
      </c>
      <c r="G158" s="91">
        <v>980823.4</v>
      </c>
      <c r="H158" s="91">
        <v>0</v>
      </c>
      <c r="I158" s="261"/>
      <c r="J158" s="261"/>
      <c r="K158" s="141"/>
      <c r="L158" s="265"/>
      <c r="M158" s="263"/>
      <c r="N158" s="5"/>
    </row>
    <row r="159" spans="1:14" ht="20.100000000000001" customHeight="1" thickBot="1" x14ac:dyDescent="0.4">
      <c r="A159" s="242"/>
      <c r="B159" s="105" t="s">
        <v>344</v>
      </c>
      <c r="C159" s="50" t="s">
        <v>32</v>
      </c>
      <c r="D159" s="51" t="s">
        <v>333</v>
      </c>
      <c r="E159" s="136">
        <v>1</v>
      </c>
      <c r="F159" s="136">
        <v>0</v>
      </c>
      <c r="G159" s="92">
        <v>800000</v>
      </c>
      <c r="H159" s="92">
        <v>0</v>
      </c>
      <c r="I159" s="268"/>
      <c r="J159" s="268"/>
      <c r="K159" s="136"/>
      <c r="L159" s="269"/>
      <c r="M159" s="270"/>
      <c r="N159" s="5"/>
    </row>
    <row r="160" spans="1:14" ht="20.100000000000001" customHeight="1" x14ac:dyDescent="0.35">
      <c r="A160" s="267">
        <v>55</v>
      </c>
      <c r="B160" s="59" t="s">
        <v>345</v>
      </c>
      <c r="C160" s="53" t="s">
        <v>22</v>
      </c>
      <c r="D160" s="45" t="s">
        <v>169</v>
      </c>
      <c r="E160" s="135">
        <v>22</v>
      </c>
      <c r="F160" s="135">
        <v>0</v>
      </c>
      <c r="G160" s="91">
        <v>54526697.039999999</v>
      </c>
      <c r="H160" s="91">
        <v>0</v>
      </c>
      <c r="I160" s="261">
        <v>54588694.439999998</v>
      </c>
      <c r="J160" s="261">
        <v>0</v>
      </c>
      <c r="K160" s="141"/>
      <c r="L160" s="265" t="s">
        <v>168</v>
      </c>
      <c r="M160" s="263" t="s">
        <v>169</v>
      </c>
      <c r="N160" s="96"/>
    </row>
    <row r="161" spans="1:14" ht="20.100000000000001" customHeight="1" thickBot="1" x14ac:dyDescent="0.4">
      <c r="A161" s="267"/>
      <c r="B161" s="106" t="s">
        <v>346</v>
      </c>
      <c r="C161" s="50" t="s">
        <v>17</v>
      </c>
      <c r="D161" s="55" t="s">
        <v>169</v>
      </c>
      <c r="E161" s="135">
        <v>1</v>
      </c>
      <c r="F161" s="135">
        <v>0</v>
      </c>
      <c r="G161" s="91">
        <v>61997.4</v>
      </c>
      <c r="H161" s="91">
        <v>0</v>
      </c>
      <c r="I161" s="261"/>
      <c r="J161" s="261"/>
      <c r="K161" s="135"/>
      <c r="L161" s="265"/>
      <c r="M161" s="263"/>
      <c r="N161" s="96"/>
    </row>
    <row r="162" spans="1:14" ht="20.100000000000001" customHeight="1" x14ac:dyDescent="0.35">
      <c r="A162" s="243">
        <v>56</v>
      </c>
      <c r="B162" s="46" t="s">
        <v>347</v>
      </c>
      <c r="C162" s="23" t="s">
        <v>57</v>
      </c>
      <c r="D162" s="36" t="s">
        <v>167</v>
      </c>
      <c r="E162" s="139">
        <v>7</v>
      </c>
      <c r="F162" s="139">
        <v>0</v>
      </c>
      <c r="G162" s="93">
        <v>9305157.5299999993</v>
      </c>
      <c r="H162" s="93">
        <v>0</v>
      </c>
      <c r="I162" s="260">
        <v>10003317.529999999</v>
      </c>
      <c r="J162" s="260">
        <v>0</v>
      </c>
      <c r="K162" s="139"/>
      <c r="L162" s="246" t="s">
        <v>170</v>
      </c>
      <c r="M162" s="249" t="s">
        <v>171</v>
      </c>
      <c r="N162" s="96"/>
    </row>
    <row r="163" spans="1:14" ht="20.100000000000001" customHeight="1" thickBot="1" x14ac:dyDescent="0.4">
      <c r="A163" s="257"/>
      <c r="B163" s="71" t="s">
        <v>348</v>
      </c>
      <c r="C163" s="50" t="s">
        <v>32</v>
      </c>
      <c r="D163" s="73" t="s">
        <v>169</v>
      </c>
      <c r="E163" s="140">
        <v>1</v>
      </c>
      <c r="F163" s="140">
        <v>0</v>
      </c>
      <c r="G163" s="169">
        <v>698160</v>
      </c>
      <c r="H163" s="169">
        <v>0</v>
      </c>
      <c r="I163" s="261"/>
      <c r="J163" s="261"/>
      <c r="K163" s="140"/>
      <c r="L163" s="258"/>
      <c r="M163" s="259"/>
      <c r="N163" s="96"/>
    </row>
    <row r="164" spans="1:14" ht="20.100000000000001" customHeight="1" x14ac:dyDescent="0.35">
      <c r="A164" s="241">
        <v>57</v>
      </c>
      <c r="B164" s="46" t="s">
        <v>349</v>
      </c>
      <c r="C164" s="23" t="s">
        <v>56</v>
      </c>
      <c r="D164" s="36" t="s">
        <v>171</v>
      </c>
      <c r="E164" s="134">
        <v>2</v>
      </c>
      <c r="F164" s="134">
        <v>0</v>
      </c>
      <c r="G164" s="90">
        <f>987294.21+80216.4</f>
        <v>1067510.6099999999</v>
      </c>
      <c r="H164" s="90">
        <v>0</v>
      </c>
      <c r="I164" s="260">
        <v>3944822.61</v>
      </c>
      <c r="J164" s="260">
        <v>0</v>
      </c>
      <c r="K164" s="139"/>
      <c r="L164" s="246" t="s">
        <v>172</v>
      </c>
      <c r="M164" s="249" t="s">
        <v>171</v>
      </c>
      <c r="N164" s="5"/>
    </row>
    <row r="165" spans="1:14" ht="20.100000000000001" customHeight="1" thickBot="1" x14ac:dyDescent="0.4">
      <c r="A165" s="242"/>
      <c r="B165" s="105" t="s">
        <v>350</v>
      </c>
      <c r="C165" s="50" t="s">
        <v>20</v>
      </c>
      <c r="D165" s="51" t="s">
        <v>171</v>
      </c>
      <c r="E165" s="136">
        <v>1</v>
      </c>
      <c r="F165" s="136">
        <v>0</v>
      </c>
      <c r="G165" s="92">
        <v>2877312</v>
      </c>
      <c r="H165" s="92">
        <v>0</v>
      </c>
      <c r="I165" s="268"/>
      <c r="J165" s="268"/>
      <c r="K165" s="136"/>
      <c r="L165" s="248"/>
      <c r="M165" s="251"/>
      <c r="N165" s="96"/>
    </row>
    <row r="166" spans="1:14" ht="20.100000000000001" customHeight="1" thickBot="1" x14ac:dyDescent="0.4">
      <c r="A166" s="25">
        <v>58</v>
      </c>
      <c r="B166" s="107" t="s">
        <v>173</v>
      </c>
      <c r="C166" s="26" t="s">
        <v>12</v>
      </c>
      <c r="D166" s="39" t="s">
        <v>175</v>
      </c>
      <c r="E166" s="21">
        <v>9</v>
      </c>
      <c r="F166" s="21">
        <v>0</v>
      </c>
      <c r="G166" s="89">
        <v>6288134.2699999996</v>
      </c>
      <c r="H166" s="89">
        <v>0</v>
      </c>
      <c r="I166" s="89">
        <v>6288134.2699999996</v>
      </c>
      <c r="J166" s="89">
        <v>0</v>
      </c>
      <c r="K166" s="21"/>
      <c r="L166" s="21" t="s">
        <v>174</v>
      </c>
      <c r="M166" s="27" t="s">
        <v>175</v>
      </c>
      <c r="N166" s="5"/>
    </row>
    <row r="167" spans="1:14" ht="20.100000000000001" customHeight="1" x14ac:dyDescent="0.35">
      <c r="A167" s="241">
        <v>59</v>
      </c>
      <c r="B167" s="46" t="s">
        <v>351</v>
      </c>
      <c r="C167" s="23" t="s">
        <v>23</v>
      </c>
      <c r="D167" s="36" t="s">
        <v>171</v>
      </c>
      <c r="E167" s="134">
        <v>4</v>
      </c>
      <c r="F167" s="134">
        <v>0</v>
      </c>
      <c r="G167" s="90">
        <f>132808.1+155628.5+930950+69264</f>
        <v>1288650.6000000001</v>
      </c>
      <c r="H167" s="90">
        <v>0</v>
      </c>
      <c r="I167" s="260">
        <v>11331879.09</v>
      </c>
      <c r="J167" s="260">
        <v>0</v>
      </c>
      <c r="K167" s="139"/>
      <c r="L167" s="264" t="s">
        <v>176</v>
      </c>
      <c r="M167" s="262" t="s">
        <v>175</v>
      </c>
      <c r="N167" s="96"/>
    </row>
    <row r="168" spans="1:14" ht="20.100000000000001" customHeight="1" thickBot="1" x14ac:dyDescent="0.4">
      <c r="A168" s="242"/>
      <c r="B168" s="105" t="s">
        <v>352</v>
      </c>
      <c r="C168" s="50" t="s">
        <v>11</v>
      </c>
      <c r="D168" s="51" t="s">
        <v>353</v>
      </c>
      <c r="E168" s="136">
        <v>14</v>
      </c>
      <c r="F168" s="136">
        <v>0</v>
      </c>
      <c r="G168" s="92">
        <v>10043228.49</v>
      </c>
      <c r="H168" s="92">
        <v>0</v>
      </c>
      <c r="I168" s="268"/>
      <c r="J168" s="268"/>
      <c r="K168" s="136"/>
      <c r="L168" s="269"/>
      <c r="M168" s="270"/>
      <c r="N168" s="96"/>
    </row>
    <row r="169" spans="1:14" ht="20.100000000000001" customHeight="1" thickBot="1" x14ac:dyDescent="0.4">
      <c r="A169" s="25">
        <v>60</v>
      </c>
      <c r="B169" s="107" t="s">
        <v>201</v>
      </c>
      <c r="C169" s="26" t="s">
        <v>12</v>
      </c>
      <c r="D169" s="39" t="s">
        <v>203</v>
      </c>
      <c r="E169" s="21">
        <v>4</v>
      </c>
      <c r="F169" s="21">
        <v>0</v>
      </c>
      <c r="G169" s="89">
        <v>35433164.530000001</v>
      </c>
      <c r="H169" s="89">
        <v>0</v>
      </c>
      <c r="I169" s="196">
        <v>35433164.530000001</v>
      </c>
      <c r="J169" s="197">
        <v>0</v>
      </c>
      <c r="K169" s="21"/>
      <c r="L169" s="21" t="s">
        <v>202</v>
      </c>
      <c r="M169" s="27" t="s">
        <v>203</v>
      </c>
      <c r="N169" s="5"/>
    </row>
    <row r="170" spans="1:14" ht="20.100000000000001" customHeight="1" x14ac:dyDescent="0.35">
      <c r="A170" s="267">
        <v>61</v>
      </c>
      <c r="B170" s="59" t="s">
        <v>354</v>
      </c>
      <c r="C170" s="23" t="s">
        <v>19</v>
      </c>
      <c r="D170" s="45" t="s">
        <v>175</v>
      </c>
      <c r="E170" s="154">
        <v>2</v>
      </c>
      <c r="F170" s="154">
        <v>0</v>
      </c>
      <c r="G170" s="171">
        <f>694076+167321.64</f>
        <v>861397.64</v>
      </c>
      <c r="H170" s="171">
        <v>0</v>
      </c>
      <c r="I170" s="261">
        <v>1201397.6399999999</v>
      </c>
      <c r="J170" s="261">
        <v>0</v>
      </c>
      <c r="K170" s="158"/>
      <c r="L170" s="265" t="s">
        <v>204</v>
      </c>
      <c r="M170" s="263" t="s">
        <v>205</v>
      </c>
      <c r="N170" s="5"/>
    </row>
    <row r="171" spans="1:14" ht="20.100000000000001" customHeight="1" x14ac:dyDescent="0.35">
      <c r="A171" s="267"/>
      <c r="B171" s="59" t="s">
        <v>355</v>
      </c>
      <c r="C171" s="22" t="s">
        <v>17</v>
      </c>
      <c r="D171" s="45" t="s">
        <v>203</v>
      </c>
      <c r="E171" s="135">
        <v>1</v>
      </c>
      <c r="F171" s="135">
        <v>0</v>
      </c>
      <c r="G171" s="91">
        <v>60000</v>
      </c>
      <c r="H171" s="91">
        <v>0</v>
      </c>
      <c r="I171" s="261"/>
      <c r="J171" s="261"/>
      <c r="K171" s="104"/>
      <c r="L171" s="265"/>
      <c r="M171" s="263"/>
      <c r="N171" s="96"/>
    </row>
    <row r="172" spans="1:14" ht="20.100000000000001" customHeight="1" thickBot="1" x14ac:dyDescent="0.4">
      <c r="A172" s="267"/>
      <c r="B172" s="59" t="s">
        <v>356</v>
      </c>
      <c r="C172" s="50" t="s">
        <v>32</v>
      </c>
      <c r="D172" s="45" t="s">
        <v>175</v>
      </c>
      <c r="E172" s="135">
        <v>1</v>
      </c>
      <c r="F172" s="135">
        <v>0</v>
      </c>
      <c r="G172" s="91">
        <v>280000</v>
      </c>
      <c r="H172" s="91">
        <v>0</v>
      </c>
      <c r="I172" s="261"/>
      <c r="J172" s="261"/>
      <c r="K172" s="104"/>
      <c r="L172" s="265"/>
      <c r="M172" s="263"/>
      <c r="N172" s="5"/>
    </row>
    <row r="173" spans="1:14" ht="20.100000000000001" customHeight="1" thickBot="1" x14ac:dyDescent="0.4">
      <c r="A173" s="25">
        <v>62</v>
      </c>
      <c r="B173" s="107" t="s">
        <v>206</v>
      </c>
      <c r="C173" s="26" t="s">
        <v>31</v>
      </c>
      <c r="D173" s="39" t="s">
        <v>208</v>
      </c>
      <c r="E173" s="21">
        <v>7</v>
      </c>
      <c r="F173" s="21">
        <v>0</v>
      </c>
      <c r="G173" s="89">
        <v>4446024.84</v>
      </c>
      <c r="H173" s="89">
        <v>0</v>
      </c>
      <c r="I173" s="89">
        <v>4446024.84</v>
      </c>
      <c r="J173" s="89">
        <v>0</v>
      </c>
      <c r="K173" s="21"/>
      <c r="L173" s="21" t="s">
        <v>207</v>
      </c>
      <c r="M173" s="28" t="s">
        <v>208</v>
      </c>
      <c r="N173" s="5"/>
    </row>
    <row r="174" spans="1:14" ht="20.100000000000001" customHeight="1" thickBot="1" x14ac:dyDescent="0.3">
      <c r="A174" s="25">
        <v>63</v>
      </c>
      <c r="B174" t="s">
        <v>209</v>
      </c>
      <c r="C174" s="26" t="s">
        <v>13</v>
      </c>
      <c r="D174" s="39" t="s">
        <v>211</v>
      </c>
      <c r="E174" s="21">
        <v>1</v>
      </c>
      <c r="F174" s="21">
        <v>0</v>
      </c>
      <c r="G174" s="89">
        <v>153127.22</v>
      </c>
      <c r="H174" s="89">
        <v>0</v>
      </c>
      <c r="I174" s="89">
        <v>153127.22</v>
      </c>
      <c r="J174" s="89">
        <v>0</v>
      </c>
      <c r="K174" s="21"/>
      <c r="L174" s="21" t="s">
        <v>210</v>
      </c>
      <c r="M174" s="28" t="s">
        <v>211</v>
      </c>
      <c r="N174" s="5"/>
    </row>
    <row r="175" spans="1:14" ht="20.100000000000001" customHeight="1" x14ac:dyDescent="0.35">
      <c r="A175" s="241">
        <v>64</v>
      </c>
      <c r="B175" s="46" t="s">
        <v>358</v>
      </c>
      <c r="C175" s="23" t="s">
        <v>55</v>
      </c>
      <c r="D175" s="36" t="s">
        <v>213</v>
      </c>
      <c r="E175" s="134">
        <v>9</v>
      </c>
      <c r="F175" s="134">
        <v>0</v>
      </c>
      <c r="G175" s="17">
        <v>2593777.77</v>
      </c>
      <c r="H175" s="90">
        <v>0</v>
      </c>
      <c r="I175" s="260">
        <v>2930437.77</v>
      </c>
      <c r="J175" s="260">
        <v>0</v>
      </c>
      <c r="K175" s="103"/>
      <c r="L175" s="264" t="s">
        <v>212</v>
      </c>
      <c r="M175" s="262" t="s">
        <v>213</v>
      </c>
      <c r="N175" s="96"/>
    </row>
    <row r="176" spans="1:14" ht="20.100000000000001" customHeight="1" thickBot="1" x14ac:dyDescent="0.4">
      <c r="A176" s="267"/>
      <c r="B176" s="106" t="s">
        <v>357</v>
      </c>
      <c r="C176" s="54" t="s">
        <v>30</v>
      </c>
      <c r="D176" s="55" t="s">
        <v>213</v>
      </c>
      <c r="E176" s="154">
        <v>2</v>
      </c>
      <c r="F176" s="154">
        <v>0</v>
      </c>
      <c r="G176" s="171">
        <f>221850+114810</f>
        <v>336660</v>
      </c>
      <c r="H176" s="171">
        <v>0</v>
      </c>
      <c r="I176" s="261"/>
      <c r="J176" s="261"/>
      <c r="K176" s="154"/>
      <c r="L176" s="265"/>
      <c r="M176" s="263"/>
      <c r="N176" s="96"/>
    </row>
    <row r="177" spans="1:14" ht="20.100000000000001" customHeight="1" x14ac:dyDescent="0.25">
      <c r="A177" s="285">
        <v>65</v>
      </c>
      <c r="B177" s="198" t="s">
        <v>359</v>
      </c>
      <c r="C177" s="23" t="s">
        <v>34</v>
      </c>
      <c r="D177" s="199" t="s">
        <v>215</v>
      </c>
      <c r="E177" s="202">
        <v>3</v>
      </c>
      <c r="F177" s="202">
        <v>4</v>
      </c>
      <c r="G177" s="201">
        <f>433650+118000+149650</f>
        <v>701300</v>
      </c>
      <c r="H177" s="201">
        <f>75000+80000+75000+65000</f>
        <v>295000</v>
      </c>
      <c r="I177" s="287">
        <v>1519778</v>
      </c>
      <c r="J177" s="287">
        <v>295000</v>
      </c>
      <c r="K177" s="200"/>
      <c r="L177" s="289" t="s">
        <v>214</v>
      </c>
      <c r="M177" s="291" t="s">
        <v>215</v>
      </c>
      <c r="N177" s="5"/>
    </row>
    <row r="178" spans="1:14" ht="20.100000000000001" customHeight="1" thickBot="1" x14ac:dyDescent="0.3">
      <c r="A178" s="286"/>
      <c r="B178" s="211" t="s">
        <v>360</v>
      </c>
      <c r="C178" s="54" t="s">
        <v>16</v>
      </c>
      <c r="D178" s="212" t="s">
        <v>215</v>
      </c>
      <c r="E178" s="213">
        <v>3</v>
      </c>
      <c r="F178" s="213">
        <v>0</v>
      </c>
      <c r="G178" s="214">
        <f>478278+259200+81000</f>
        <v>818478</v>
      </c>
      <c r="H178" s="214">
        <v>0</v>
      </c>
      <c r="I178" s="288"/>
      <c r="J178" s="288"/>
      <c r="K178" s="215"/>
      <c r="L178" s="290"/>
      <c r="M178" s="292"/>
      <c r="N178" s="96"/>
    </row>
    <row r="179" spans="1:14" ht="20.100000000000001" customHeight="1" x14ac:dyDescent="0.35">
      <c r="A179" s="243">
        <v>66</v>
      </c>
      <c r="B179" s="46" t="s">
        <v>369</v>
      </c>
      <c r="C179" s="23" t="s">
        <v>23</v>
      </c>
      <c r="D179" s="36" t="s">
        <v>366</v>
      </c>
      <c r="E179" s="176">
        <v>6</v>
      </c>
      <c r="F179" s="176">
        <v>1</v>
      </c>
      <c r="G179" s="182">
        <f>167900+693000+126532+324350+112000+281950</f>
        <v>1705732</v>
      </c>
      <c r="H179" s="182">
        <v>281950</v>
      </c>
      <c r="I179" s="252">
        <v>1955817</v>
      </c>
      <c r="J179" s="252">
        <v>281950</v>
      </c>
      <c r="K179" s="176"/>
      <c r="L179" s="246" t="s">
        <v>361</v>
      </c>
      <c r="M179" s="249" t="s">
        <v>366</v>
      </c>
      <c r="N179" s="5"/>
    </row>
    <row r="180" spans="1:14" ht="20.100000000000001" customHeight="1" x14ac:dyDescent="0.35">
      <c r="A180" s="244"/>
      <c r="B180" s="44" t="s">
        <v>370</v>
      </c>
      <c r="C180" s="22" t="s">
        <v>19</v>
      </c>
      <c r="D180" s="37" t="s">
        <v>215</v>
      </c>
      <c r="E180" s="181">
        <v>1</v>
      </c>
      <c r="F180" s="181">
        <v>0</v>
      </c>
      <c r="G180" s="183">
        <v>134885</v>
      </c>
      <c r="H180" s="183">
        <v>0</v>
      </c>
      <c r="I180" s="253"/>
      <c r="J180" s="253"/>
      <c r="K180" s="181"/>
      <c r="L180" s="247"/>
      <c r="M180" s="250"/>
      <c r="N180" s="96"/>
    </row>
    <row r="181" spans="1:14" ht="20.100000000000001" customHeight="1" thickBot="1" x14ac:dyDescent="0.4">
      <c r="A181" s="245"/>
      <c r="B181" s="47" t="s">
        <v>371</v>
      </c>
      <c r="C181" s="50" t="s">
        <v>18</v>
      </c>
      <c r="D181" s="38" t="s">
        <v>211</v>
      </c>
      <c r="E181" s="177">
        <v>1</v>
      </c>
      <c r="F181" s="177">
        <v>0</v>
      </c>
      <c r="G181" s="184">
        <v>115200</v>
      </c>
      <c r="H181" s="184">
        <v>0</v>
      </c>
      <c r="I181" s="254"/>
      <c r="J181" s="254"/>
      <c r="K181" s="177"/>
      <c r="L181" s="248"/>
      <c r="M181" s="251"/>
      <c r="N181" s="5"/>
    </row>
    <row r="182" spans="1:14" ht="20.100000000000001" customHeight="1" thickBot="1" x14ac:dyDescent="0.4">
      <c r="A182" s="187">
        <v>67</v>
      </c>
      <c r="B182" s="105" t="s">
        <v>365</v>
      </c>
      <c r="C182" s="50" t="s">
        <v>12</v>
      </c>
      <c r="D182" s="51" t="s">
        <v>366</v>
      </c>
      <c r="E182" s="185">
        <v>6</v>
      </c>
      <c r="F182" s="185">
        <v>0</v>
      </c>
      <c r="G182" s="188">
        <v>67591071.75</v>
      </c>
      <c r="H182" s="188">
        <v>0</v>
      </c>
      <c r="I182" s="188">
        <v>67591071.75</v>
      </c>
      <c r="J182" s="188">
        <v>0</v>
      </c>
      <c r="K182" s="185"/>
      <c r="L182" s="185" t="s">
        <v>362</v>
      </c>
      <c r="M182" s="186" t="s">
        <v>366</v>
      </c>
      <c r="N182" s="5"/>
    </row>
    <row r="183" spans="1:14" ht="20.100000000000001" customHeight="1" x14ac:dyDescent="0.25">
      <c r="A183" s="243">
        <v>68</v>
      </c>
      <c r="B183" s="219" t="s">
        <v>372</v>
      </c>
      <c r="C183" s="23" t="s">
        <v>58</v>
      </c>
      <c r="D183" s="36" t="s">
        <v>367</v>
      </c>
      <c r="E183" s="176">
        <v>0</v>
      </c>
      <c r="F183" s="176">
        <v>1</v>
      </c>
      <c r="G183" s="182">
        <v>0</v>
      </c>
      <c r="H183" s="182">
        <v>270400</v>
      </c>
      <c r="I183" s="255">
        <v>40792.9</v>
      </c>
      <c r="J183" s="255">
        <v>270400</v>
      </c>
      <c r="K183" s="176"/>
      <c r="L183" s="246" t="s">
        <v>363</v>
      </c>
      <c r="M183" s="249" t="s">
        <v>367</v>
      </c>
      <c r="N183" s="5"/>
    </row>
    <row r="184" spans="1:14" ht="20.100000000000001" customHeight="1" thickBot="1" x14ac:dyDescent="0.3">
      <c r="A184" s="245"/>
      <c r="B184" s="217" t="s">
        <v>373</v>
      </c>
      <c r="C184" s="50" t="s">
        <v>179</v>
      </c>
      <c r="D184" s="38" t="s">
        <v>366</v>
      </c>
      <c r="E184" s="177">
        <v>1</v>
      </c>
      <c r="F184" s="177">
        <v>0</v>
      </c>
      <c r="G184" s="184">
        <v>40792.9</v>
      </c>
      <c r="H184" s="220">
        <v>0</v>
      </c>
      <c r="I184" s="256"/>
      <c r="J184" s="256"/>
      <c r="K184" s="177"/>
      <c r="L184" s="248"/>
      <c r="M184" s="251"/>
      <c r="N184" s="5"/>
    </row>
    <row r="185" spans="1:14" ht="20.100000000000001" customHeight="1" thickBot="1" x14ac:dyDescent="0.4">
      <c r="A185" s="187">
        <v>69</v>
      </c>
      <c r="B185" s="105" t="s">
        <v>368</v>
      </c>
      <c r="C185" s="50" t="s">
        <v>12</v>
      </c>
      <c r="D185" s="51" t="s">
        <v>367</v>
      </c>
      <c r="E185" s="185">
        <v>2</v>
      </c>
      <c r="F185" s="185">
        <v>0</v>
      </c>
      <c r="G185" s="218">
        <v>5370728.4000000004</v>
      </c>
      <c r="H185" s="192">
        <v>0</v>
      </c>
      <c r="I185" s="218">
        <v>5370728.4000000004</v>
      </c>
      <c r="J185" s="192">
        <v>0</v>
      </c>
      <c r="K185" s="185"/>
      <c r="L185" s="185" t="s">
        <v>364</v>
      </c>
      <c r="M185" s="186" t="s">
        <v>367</v>
      </c>
      <c r="N185" s="5"/>
    </row>
    <row r="186" spans="1:14" ht="25.5" customHeight="1" thickBot="1" x14ac:dyDescent="0.3">
      <c r="A186" s="281" t="s">
        <v>14</v>
      </c>
      <c r="B186" s="282"/>
      <c r="C186" s="282"/>
      <c r="D186" s="283"/>
      <c r="E186" s="52">
        <f t="shared" ref="E186:J186" si="0">SUM(E4:E185)</f>
        <v>689</v>
      </c>
      <c r="F186" s="52">
        <f t="shared" si="0"/>
        <v>42</v>
      </c>
      <c r="G186" s="61">
        <f t="shared" si="0"/>
        <v>1517189101.3500001</v>
      </c>
      <c r="H186" s="61">
        <f t="shared" si="0"/>
        <v>91660436.219999999</v>
      </c>
      <c r="I186" s="61">
        <f t="shared" si="0"/>
        <v>1517189101.3499999</v>
      </c>
      <c r="J186" s="61">
        <f t="shared" si="0"/>
        <v>91660436.219999999</v>
      </c>
      <c r="K186" s="12"/>
      <c r="L186" s="11"/>
      <c r="N186" s="5"/>
    </row>
    <row r="187" spans="1:14" x14ac:dyDescent="0.25">
      <c r="A187" s="10"/>
      <c r="B187" s="19"/>
      <c r="C187" s="18"/>
      <c r="D187" s="11"/>
      <c r="E187" s="12"/>
      <c r="F187" s="12"/>
      <c r="G187" s="12"/>
      <c r="H187" s="12"/>
      <c r="I187" s="29"/>
      <c r="J187" s="29"/>
      <c r="K187" s="12"/>
      <c r="L187" s="11"/>
      <c r="N187" s="5"/>
    </row>
    <row r="188" spans="1:14" x14ac:dyDescent="0.25">
      <c r="A188" s="10"/>
      <c r="B188" s="19"/>
      <c r="C188" s="18"/>
      <c r="D188" s="11"/>
      <c r="E188" s="12"/>
      <c r="F188" s="12"/>
      <c r="G188" s="98"/>
      <c r="H188" s="12"/>
      <c r="I188" s="29"/>
      <c r="J188" s="29"/>
      <c r="K188" s="12"/>
      <c r="L188" s="11"/>
      <c r="N188" s="5"/>
    </row>
    <row r="189" spans="1:14" ht="15.75" x14ac:dyDescent="0.3">
      <c r="A189" s="10"/>
      <c r="B189" s="20"/>
      <c r="C189" s="17"/>
      <c r="D189" s="11"/>
      <c r="E189" s="12"/>
      <c r="F189" s="12"/>
      <c r="G189" s="12"/>
      <c r="H189" s="12"/>
      <c r="I189" s="29"/>
      <c r="J189" s="29"/>
      <c r="K189" s="12"/>
      <c r="L189" s="11"/>
      <c r="N189" s="5"/>
    </row>
    <row r="190" spans="1:14" ht="15.75" x14ac:dyDescent="0.3">
      <c r="A190" s="10"/>
      <c r="B190" s="11"/>
      <c r="C190" s="18"/>
      <c r="D190" s="11"/>
      <c r="E190" s="12"/>
      <c r="F190" s="13"/>
      <c r="G190" s="13"/>
      <c r="H190" s="13"/>
      <c r="I190" s="30"/>
      <c r="J190" s="35"/>
      <c r="K190" s="13"/>
      <c r="L190" s="14"/>
      <c r="N190" s="5"/>
    </row>
    <row r="191" spans="1:14" ht="15.75" x14ac:dyDescent="0.3">
      <c r="E191" s="3"/>
      <c r="F191" s="13">
        <v>59</v>
      </c>
      <c r="G191" s="13"/>
      <c r="H191" s="13"/>
      <c r="I191" s="30">
        <v>70428</v>
      </c>
      <c r="J191" s="31"/>
      <c r="K191" s="15"/>
      <c r="L191" s="16"/>
      <c r="N191" s="5"/>
    </row>
    <row r="192" spans="1:14" ht="15.75" x14ac:dyDescent="0.3">
      <c r="E192" s="3"/>
      <c r="F192" s="13">
        <v>60</v>
      </c>
      <c r="G192" s="13"/>
      <c r="H192" s="13"/>
      <c r="I192" s="30">
        <v>164194</v>
      </c>
      <c r="J192" s="31"/>
      <c r="K192" s="15"/>
      <c r="L192" s="16"/>
      <c r="N192" s="5"/>
    </row>
    <row r="193" spans="5:14" ht="15.75" x14ac:dyDescent="0.3">
      <c r="E193" s="3"/>
      <c r="F193" s="13">
        <v>61</v>
      </c>
      <c r="G193" s="13"/>
      <c r="H193" s="13"/>
      <c r="I193" s="97">
        <v>46014.5</v>
      </c>
      <c r="J193" s="31"/>
      <c r="K193" s="15"/>
      <c r="L193" s="16"/>
      <c r="N193" s="5"/>
    </row>
    <row r="194" spans="5:14" ht="15.75" x14ac:dyDescent="0.3">
      <c r="E194" s="3"/>
      <c r="F194" s="13">
        <v>62</v>
      </c>
      <c r="G194" s="13"/>
      <c r="H194" s="13"/>
      <c r="I194" s="30">
        <v>33630</v>
      </c>
      <c r="J194" s="31"/>
      <c r="K194" s="15"/>
      <c r="L194" s="16"/>
    </row>
    <row r="195" spans="5:14" ht="15.75" x14ac:dyDescent="0.3">
      <c r="E195" s="3"/>
      <c r="F195" s="13">
        <v>63</v>
      </c>
      <c r="G195" s="13"/>
      <c r="H195" s="13"/>
      <c r="I195" s="30">
        <v>96000</v>
      </c>
      <c r="J195" s="31"/>
      <c r="K195" s="15"/>
      <c r="L195" s="16"/>
    </row>
    <row r="196" spans="5:14" x14ac:dyDescent="0.25">
      <c r="E196" s="3"/>
      <c r="F196" s="15"/>
      <c r="G196" s="15"/>
      <c r="H196" s="15"/>
      <c r="I196" s="31"/>
      <c r="J196" s="31"/>
      <c r="K196" s="15"/>
      <c r="L196" s="16"/>
    </row>
    <row r="197" spans="5:14" x14ac:dyDescent="0.25">
      <c r="E197" s="3"/>
      <c r="F197" s="15"/>
      <c r="G197" s="15"/>
      <c r="H197" s="15"/>
      <c r="I197" s="32">
        <f>SUM(I190:I196)</f>
        <v>410266.5</v>
      </c>
      <c r="J197" s="31"/>
      <c r="K197" s="15"/>
      <c r="L197" s="16"/>
    </row>
    <row r="198" spans="5:14" x14ac:dyDescent="0.25">
      <c r="E198" s="3"/>
      <c r="F198" s="15"/>
      <c r="G198" s="15"/>
      <c r="H198" s="15"/>
      <c r="I198" s="31"/>
      <c r="J198" s="31"/>
      <c r="K198" s="15"/>
      <c r="L198" s="16"/>
    </row>
    <row r="199" spans="5:14" x14ac:dyDescent="0.25">
      <c r="E199" s="3"/>
      <c r="F199" s="15"/>
      <c r="G199" s="15"/>
      <c r="H199" s="15"/>
      <c r="I199" s="31"/>
      <c r="J199" s="31"/>
      <c r="K199" s="15"/>
      <c r="L199" s="16"/>
    </row>
    <row r="200" spans="5:14" x14ac:dyDescent="0.25">
      <c r="E200" s="3"/>
      <c r="F200" s="15"/>
      <c r="G200" s="15"/>
      <c r="H200" s="15"/>
      <c r="I200" s="31"/>
      <c r="J200" s="31"/>
      <c r="K200" s="15"/>
      <c r="L200" s="16"/>
    </row>
    <row r="201" spans="5:14" x14ac:dyDescent="0.25">
      <c r="E201" s="3"/>
      <c r="F201" s="15"/>
      <c r="G201" s="15"/>
      <c r="H201" s="15"/>
      <c r="I201" s="31"/>
      <c r="J201" s="31"/>
      <c r="K201" s="15"/>
      <c r="L201" s="16"/>
    </row>
    <row r="202" spans="5:14" x14ac:dyDescent="0.25">
      <c r="E202" s="3"/>
      <c r="F202" s="15"/>
      <c r="G202" s="15"/>
      <c r="H202" s="15"/>
      <c r="I202" s="31"/>
      <c r="J202" s="31"/>
      <c r="K202" s="15"/>
      <c r="L202" s="16"/>
    </row>
    <row r="203" spans="5:14" x14ac:dyDescent="0.25">
      <c r="E203" s="3"/>
      <c r="F203" s="15"/>
      <c r="G203" s="15"/>
      <c r="H203" s="15"/>
      <c r="I203" s="31"/>
      <c r="J203" s="31"/>
      <c r="K203" s="15"/>
      <c r="L203" s="16"/>
    </row>
    <row r="204" spans="5:14" x14ac:dyDescent="0.25">
      <c r="E204" s="3"/>
      <c r="F204" s="15"/>
      <c r="G204" s="15"/>
      <c r="H204" s="15"/>
      <c r="I204" s="31"/>
      <c r="J204" s="31"/>
      <c r="K204" s="15"/>
      <c r="L204" s="16"/>
    </row>
    <row r="205" spans="5:14" x14ac:dyDescent="0.25">
      <c r="E205" s="3"/>
      <c r="F205" s="15"/>
      <c r="G205" s="15"/>
      <c r="H205" s="15"/>
      <c r="I205" s="31"/>
      <c r="J205" s="31"/>
      <c r="K205" s="15"/>
      <c r="L205" s="16"/>
    </row>
    <row r="206" spans="5:14" x14ac:dyDescent="0.25">
      <c r="E206" s="3"/>
      <c r="F206" s="15"/>
      <c r="G206" s="15"/>
      <c r="H206" s="15"/>
      <c r="I206" s="31"/>
      <c r="J206" s="31"/>
      <c r="K206" s="15"/>
      <c r="L206" s="16"/>
    </row>
    <row r="207" spans="5:14" x14ac:dyDescent="0.25">
      <c r="E207" s="3"/>
      <c r="F207" s="15"/>
      <c r="G207" s="15"/>
      <c r="H207" s="15"/>
      <c r="I207" s="31"/>
      <c r="J207" s="31"/>
      <c r="K207" s="15"/>
      <c r="L207" s="16"/>
    </row>
    <row r="208" spans="5:14" x14ac:dyDescent="0.25">
      <c r="E208" s="3"/>
      <c r="F208" s="15"/>
      <c r="G208" s="15"/>
      <c r="H208" s="15"/>
      <c r="I208" s="31"/>
      <c r="J208" s="31"/>
      <c r="K208" s="15"/>
      <c r="L208" s="16"/>
    </row>
    <row r="209" spans="5:12" x14ac:dyDescent="0.25">
      <c r="E209" s="3"/>
      <c r="F209" s="15"/>
      <c r="G209" s="15"/>
      <c r="H209" s="15"/>
      <c r="I209" s="31"/>
      <c r="J209" s="31"/>
      <c r="K209" s="15"/>
      <c r="L209" s="16"/>
    </row>
    <row r="210" spans="5:12" x14ac:dyDescent="0.25">
      <c r="E210" s="3"/>
      <c r="F210" s="15"/>
      <c r="G210" s="15"/>
      <c r="H210" s="15"/>
      <c r="I210" s="31"/>
      <c r="J210" s="31"/>
      <c r="K210" s="15"/>
      <c r="L210" s="16"/>
    </row>
    <row r="211" spans="5:12" x14ac:dyDescent="0.25">
      <c r="E211" s="3"/>
      <c r="F211" s="15"/>
      <c r="G211" s="15"/>
      <c r="H211" s="15"/>
      <c r="I211" s="31"/>
      <c r="J211" s="31"/>
      <c r="K211" s="15"/>
      <c r="L211" s="16"/>
    </row>
    <row r="212" spans="5:12" x14ac:dyDescent="0.25">
      <c r="E212" s="3"/>
      <c r="F212" s="15"/>
      <c r="G212" s="15"/>
      <c r="H212" s="15"/>
      <c r="I212" s="31"/>
      <c r="J212" s="31"/>
      <c r="K212" s="15"/>
      <c r="L212" s="16"/>
    </row>
    <row r="213" spans="5:12" x14ac:dyDescent="0.25">
      <c r="E213" s="3"/>
      <c r="F213" s="15"/>
      <c r="G213" s="15"/>
      <c r="H213" s="15"/>
      <c r="I213" s="31"/>
      <c r="J213" s="31"/>
      <c r="K213" s="15"/>
      <c r="L213" s="16"/>
    </row>
    <row r="214" spans="5:12" x14ac:dyDescent="0.25">
      <c r="E214" s="3"/>
      <c r="F214" s="15"/>
      <c r="G214" s="15"/>
      <c r="H214" s="15"/>
      <c r="I214" s="31"/>
      <c r="J214" s="31"/>
      <c r="K214" s="15"/>
      <c r="L214" s="16"/>
    </row>
    <row r="215" spans="5:12" x14ac:dyDescent="0.25">
      <c r="E215" s="3"/>
      <c r="F215" s="15"/>
      <c r="G215" s="15"/>
      <c r="H215" s="15"/>
      <c r="I215" s="31"/>
      <c r="J215" s="31"/>
      <c r="K215" s="15"/>
      <c r="L215" s="16"/>
    </row>
    <row r="216" spans="5:12" x14ac:dyDescent="0.25">
      <c r="E216" s="3"/>
      <c r="F216" s="15"/>
      <c r="G216" s="15"/>
      <c r="H216" s="15"/>
      <c r="I216" s="31"/>
      <c r="J216" s="31"/>
      <c r="K216" s="15"/>
      <c r="L216" s="16"/>
    </row>
    <row r="217" spans="5:12" x14ac:dyDescent="0.25">
      <c r="E217" s="3"/>
      <c r="F217" s="15"/>
      <c r="G217" s="15"/>
      <c r="H217" s="15"/>
      <c r="I217" s="31"/>
      <c r="J217" s="31"/>
      <c r="K217" s="15"/>
      <c r="L217" s="16"/>
    </row>
    <row r="218" spans="5:12" x14ac:dyDescent="0.25">
      <c r="E218" s="3"/>
      <c r="F218" s="15"/>
      <c r="G218" s="15"/>
      <c r="H218" s="15"/>
      <c r="I218" s="31"/>
      <c r="J218" s="31"/>
      <c r="K218" s="15"/>
      <c r="L218" s="16"/>
    </row>
    <row r="219" spans="5:12" x14ac:dyDescent="0.25">
      <c r="E219" s="3"/>
      <c r="F219" s="15"/>
      <c r="G219" s="15"/>
      <c r="H219" s="15"/>
      <c r="I219" s="31"/>
      <c r="J219" s="31"/>
      <c r="K219" s="15"/>
      <c r="L219" s="16"/>
    </row>
    <row r="220" spans="5:12" x14ac:dyDescent="0.25">
      <c r="E220" s="3"/>
      <c r="F220" s="15"/>
      <c r="G220" s="15"/>
      <c r="H220" s="15"/>
      <c r="I220" s="31"/>
      <c r="J220" s="31"/>
      <c r="K220" s="15"/>
      <c r="L220" s="16"/>
    </row>
    <row r="221" spans="5:12" x14ac:dyDescent="0.25">
      <c r="E221" s="3"/>
      <c r="F221" s="15"/>
      <c r="G221" s="15"/>
      <c r="H221" s="15"/>
      <c r="I221" s="31"/>
      <c r="J221" s="31"/>
      <c r="K221" s="15"/>
      <c r="L221" s="16"/>
    </row>
    <row r="222" spans="5:12" x14ac:dyDescent="0.25">
      <c r="E222" s="3"/>
      <c r="F222" s="15"/>
      <c r="G222" s="15"/>
      <c r="H222" s="15"/>
      <c r="I222" s="31"/>
      <c r="J222" s="31"/>
      <c r="K222" s="15"/>
      <c r="L222" s="16"/>
    </row>
    <row r="223" spans="5:12" x14ac:dyDescent="0.25">
      <c r="E223" s="3"/>
      <c r="F223" s="15"/>
      <c r="G223" s="15"/>
      <c r="H223" s="15"/>
      <c r="I223" s="31"/>
      <c r="J223" s="31"/>
      <c r="K223" s="15"/>
      <c r="L223" s="16"/>
    </row>
    <row r="224" spans="5:12" x14ac:dyDescent="0.25">
      <c r="E224" s="3"/>
      <c r="F224" s="15"/>
      <c r="G224" s="15"/>
      <c r="H224" s="15"/>
      <c r="I224" s="31"/>
      <c r="J224" s="31"/>
      <c r="K224" s="15"/>
      <c r="L224" s="16"/>
    </row>
    <row r="225" spans="5:12" x14ac:dyDescent="0.25">
      <c r="E225" s="3"/>
      <c r="F225" s="15"/>
      <c r="G225" s="15"/>
      <c r="H225" s="15"/>
      <c r="I225" s="31"/>
      <c r="J225" s="31"/>
      <c r="K225" s="15"/>
      <c r="L225" s="16"/>
    </row>
    <row r="226" spans="5:12" x14ac:dyDescent="0.25">
      <c r="E226" s="3"/>
      <c r="F226" s="15"/>
      <c r="G226" s="15"/>
      <c r="H226" s="15"/>
      <c r="I226" s="31"/>
      <c r="J226" s="31"/>
      <c r="K226" s="15"/>
      <c r="L226" s="16"/>
    </row>
    <row r="227" spans="5:12" x14ac:dyDescent="0.25">
      <c r="E227" s="3"/>
      <c r="F227" s="15"/>
      <c r="G227" s="15"/>
      <c r="H227" s="15"/>
      <c r="I227" s="31"/>
      <c r="J227" s="31"/>
      <c r="K227" s="15"/>
      <c r="L227" s="16"/>
    </row>
    <row r="228" spans="5:12" x14ac:dyDescent="0.25">
      <c r="E228" s="3"/>
      <c r="F228" s="15"/>
      <c r="G228" s="15"/>
      <c r="H228" s="15"/>
      <c r="I228" s="31"/>
      <c r="J228" s="31"/>
      <c r="K228" s="15"/>
      <c r="L228" s="16"/>
    </row>
    <row r="229" spans="5:12" x14ac:dyDescent="0.25">
      <c r="E229" s="3"/>
      <c r="F229" s="15"/>
      <c r="G229" s="15"/>
      <c r="H229" s="15"/>
      <c r="I229" s="31"/>
      <c r="J229" s="31"/>
      <c r="K229" s="15"/>
      <c r="L229" s="16"/>
    </row>
    <row r="230" spans="5:12" x14ac:dyDescent="0.25">
      <c r="E230" s="3"/>
      <c r="F230" s="15"/>
      <c r="G230" s="15"/>
      <c r="H230" s="15"/>
      <c r="I230" s="31"/>
      <c r="J230" s="31"/>
      <c r="K230" s="15"/>
      <c r="L230" s="16"/>
    </row>
    <row r="231" spans="5:12" x14ac:dyDescent="0.25">
      <c r="E231" s="3"/>
      <c r="F231" s="15"/>
      <c r="G231" s="15"/>
      <c r="H231" s="15"/>
      <c r="I231" s="31"/>
      <c r="J231" s="31"/>
      <c r="K231" s="15"/>
      <c r="L231" s="16"/>
    </row>
    <row r="232" spans="5:12" x14ac:dyDescent="0.25">
      <c r="E232" s="3"/>
      <c r="F232" s="15"/>
      <c r="G232" s="15"/>
      <c r="H232" s="15"/>
      <c r="I232" s="31"/>
      <c r="J232" s="31"/>
      <c r="K232" s="15"/>
      <c r="L232" s="16"/>
    </row>
    <row r="233" spans="5:12" x14ac:dyDescent="0.25">
      <c r="E233" s="3"/>
      <c r="F233" s="15"/>
      <c r="G233" s="15"/>
      <c r="H233" s="15"/>
      <c r="I233" s="31"/>
      <c r="J233" s="31"/>
      <c r="K233" s="15"/>
      <c r="L233" s="16"/>
    </row>
    <row r="234" spans="5:12" x14ac:dyDescent="0.25">
      <c r="E234" s="3"/>
      <c r="F234" s="15"/>
      <c r="G234" s="15"/>
      <c r="H234" s="15"/>
      <c r="I234" s="31"/>
      <c r="J234" s="31"/>
      <c r="K234" s="15"/>
      <c r="L234" s="16"/>
    </row>
    <row r="235" spans="5:12" x14ac:dyDescent="0.25">
      <c r="E235" s="3"/>
      <c r="F235" s="15"/>
      <c r="G235" s="15"/>
      <c r="H235" s="15"/>
      <c r="I235" s="31"/>
      <c r="J235" s="31"/>
      <c r="K235" s="15"/>
      <c r="L235" s="16"/>
    </row>
    <row r="236" spans="5:12" x14ac:dyDescent="0.25">
      <c r="E236" s="3"/>
      <c r="F236" s="15"/>
      <c r="G236" s="15"/>
      <c r="H236" s="15"/>
      <c r="I236" s="31"/>
      <c r="J236" s="31"/>
      <c r="K236" s="15"/>
      <c r="L236" s="16"/>
    </row>
    <row r="237" spans="5:12" x14ac:dyDescent="0.25">
      <c r="E237" s="3"/>
      <c r="F237" s="15"/>
      <c r="G237" s="15"/>
      <c r="H237" s="15"/>
      <c r="I237" s="31"/>
      <c r="J237" s="31"/>
      <c r="K237" s="15"/>
      <c r="L237" s="16"/>
    </row>
    <row r="238" spans="5:12" x14ac:dyDescent="0.25">
      <c r="E238" s="3"/>
      <c r="F238" s="15"/>
      <c r="G238" s="15"/>
      <c r="H238" s="15"/>
      <c r="I238" s="31"/>
      <c r="J238" s="31"/>
      <c r="K238" s="15"/>
      <c r="L238" s="16"/>
    </row>
    <row r="239" spans="5:12" x14ac:dyDescent="0.25">
      <c r="E239" s="3"/>
      <c r="F239" s="15"/>
      <c r="G239" s="15"/>
      <c r="H239" s="15"/>
      <c r="I239" s="31"/>
      <c r="J239" s="31"/>
      <c r="K239" s="15"/>
      <c r="L239" s="16"/>
    </row>
    <row r="240" spans="5:12" x14ac:dyDescent="0.25">
      <c r="E240" s="3"/>
      <c r="F240" s="15"/>
      <c r="G240" s="15"/>
      <c r="H240" s="15"/>
      <c r="I240" s="31"/>
      <c r="J240" s="31"/>
      <c r="K240" s="15"/>
      <c r="L240" s="16"/>
    </row>
    <row r="241" spans="5:12" x14ac:dyDescent="0.25">
      <c r="E241" s="3"/>
      <c r="F241" s="15"/>
      <c r="G241" s="15"/>
      <c r="H241" s="15"/>
      <c r="I241" s="31"/>
      <c r="J241" s="31"/>
      <c r="K241" s="15"/>
      <c r="L241" s="16"/>
    </row>
    <row r="242" spans="5:12" x14ac:dyDescent="0.25">
      <c r="E242" s="3"/>
      <c r="F242" s="15"/>
      <c r="G242" s="15"/>
      <c r="H242" s="15"/>
      <c r="I242" s="31"/>
      <c r="J242" s="31"/>
      <c r="K242" s="15"/>
      <c r="L242" s="16"/>
    </row>
    <row r="243" spans="5:12" x14ac:dyDescent="0.25">
      <c r="E243" s="3"/>
      <c r="F243" s="15"/>
      <c r="G243" s="15"/>
      <c r="H243" s="15"/>
      <c r="I243" s="31"/>
      <c r="J243" s="31"/>
      <c r="K243" s="15"/>
      <c r="L243" s="16"/>
    </row>
    <row r="244" spans="5:12" x14ac:dyDescent="0.25">
      <c r="E244" s="3"/>
      <c r="F244" s="15"/>
      <c r="G244" s="15"/>
      <c r="H244" s="15"/>
      <c r="I244" s="31"/>
      <c r="J244" s="31"/>
      <c r="K244" s="15"/>
      <c r="L244" s="16"/>
    </row>
    <row r="245" spans="5:12" x14ac:dyDescent="0.25">
      <c r="E245" s="3"/>
      <c r="F245" s="15"/>
      <c r="G245" s="15"/>
      <c r="H245" s="15"/>
      <c r="I245" s="31"/>
      <c r="J245" s="31"/>
      <c r="K245" s="15"/>
      <c r="L245" s="16"/>
    </row>
    <row r="246" spans="5:12" x14ac:dyDescent="0.25">
      <c r="E246" s="3"/>
      <c r="F246" s="15"/>
      <c r="G246" s="15"/>
      <c r="H246" s="15"/>
      <c r="I246" s="31"/>
      <c r="J246" s="31"/>
      <c r="K246" s="15"/>
      <c r="L246" s="16"/>
    </row>
    <row r="247" spans="5:12" x14ac:dyDescent="0.25">
      <c r="E247" s="3"/>
      <c r="F247" s="15"/>
      <c r="G247" s="15"/>
      <c r="H247" s="15"/>
      <c r="I247" s="31"/>
      <c r="J247" s="31"/>
      <c r="K247" s="15"/>
      <c r="L247" s="16"/>
    </row>
    <row r="248" spans="5:12" x14ac:dyDescent="0.25">
      <c r="E248" s="3"/>
      <c r="F248" s="15"/>
      <c r="G248" s="15"/>
      <c r="H248" s="15"/>
      <c r="I248" s="31"/>
      <c r="J248" s="31"/>
      <c r="K248" s="15"/>
      <c r="L248" s="16"/>
    </row>
    <row r="249" spans="5:12" x14ac:dyDescent="0.25">
      <c r="E249" s="3"/>
      <c r="F249" s="15"/>
      <c r="G249" s="15"/>
      <c r="H249" s="15"/>
      <c r="I249" s="31"/>
      <c r="J249" s="31"/>
      <c r="K249" s="15"/>
      <c r="L249" s="16"/>
    </row>
    <row r="250" spans="5:12" x14ac:dyDescent="0.25">
      <c r="E250" s="3"/>
      <c r="F250" s="15"/>
      <c r="G250" s="15"/>
      <c r="H250" s="15"/>
      <c r="I250" s="31"/>
      <c r="J250" s="31"/>
      <c r="K250" s="15"/>
      <c r="L250" s="16"/>
    </row>
    <row r="251" spans="5:12" x14ac:dyDescent="0.25">
      <c r="E251" s="3"/>
      <c r="F251" s="15"/>
      <c r="G251" s="15"/>
      <c r="H251" s="15"/>
      <c r="I251" s="31"/>
      <c r="J251" s="31"/>
      <c r="K251" s="15"/>
      <c r="L251" s="16"/>
    </row>
    <row r="252" spans="5:12" x14ac:dyDescent="0.25">
      <c r="E252" s="3"/>
      <c r="F252" s="15"/>
      <c r="G252" s="15"/>
      <c r="H252" s="15"/>
      <c r="I252" s="31"/>
      <c r="J252" s="31"/>
      <c r="K252" s="15"/>
      <c r="L252" s="16"/>
    </row>
    <row r="253" spans="5:12" x14ac:dyDescent="0.25">
      <c r="E253" s="3"/>
      <c r="F253" s="15"/>
      <c r="G253" s="15"/>
      <c r="H253" s="15"/>
      <c r="I253" s="31"/>
      <c r="J253" s="31"/>
      <c r="K253" s="15"/>
      <c r="L253" s="16"/>
    </row>
    <row r="254" spans="5:12" x14ac:dyDescent="0.25">
      <c r="E254" s="3"/>
      <c r="F254" s="15"/>
      <c r="G254" s="15"/>
      <c r="H254" s="15"/>
      <c r="I254" s="31"/>
      <c r="J254" s="31"/>
      <c r="K254" s="15"/>
      <c r="L254" s="16"/>
    </row>
    <row r="255" spans="5:12" x14ac:dyDescent="0.25">
      <c r="E255" s="3"/>
      <c r="F255" s="15"/>
      <c r="G255" s="15"/>
      <c r="H255" s="15"/>
      <c r="I255" s="31"/>
      <c r="J255" s="31"/>
      <c r="K255" s="15"/>
      <c r="L255" s="16"/>
    </row>
    <row r="256" spans="5:12" x14ac:dyDescent="0.25">
      <c r="E256" s="3"/>
      <c r="F256" s="15"/>
      <c r="G256" s="15"/>
      <c r="H256" s="15"/>
      <c r="I256" s="31"/>
      <c r="J256" s="31"/>
      <c r="K256" s="15"/>
      <c r="L256" s="16"/>
    </row>
    <row r="257" spans="5:12" x14ac:dyDescent="0.25">
      <c r="E257" s="3"/>
      <c r="F257" s="15"/>
      <c r="G257" s="15"/>
      <c r="H257" s="15"/>
      <c r="I257" s="31"/>
      <c r="J257" s="31"/>
      <c r="K257" s="15"/>
      <c r="L257" s="16"/>
    </row>
    <row r="258" spans="5:12" x14ac:dyDescent="0.25">
      <c r="E258" s="3"/>
      <c r="F258" s="15"/>
      <c r="G258" s="15"/>
      <c r="H258" s="15"/>
      <c r="I258" s="31"/>
      <c r="J258" s="31"/>
      <c r="K258" s="15"/>
      <c r="L258" s="16"/>
    </row>
    <row r="259" spans="5:12" x14ac:dyDescent="0.25">
      <c r="E259" s="3"/>
      <c r="F259" s="15"/>
      <c r="G259" s="15"/>
      <c r="H259" s="15"/>
      <c r="I259" s="31"/>
      <c r="J259" s="31"/>
      <c r="K259" s="15"/>
      <c r="L259" s="16"/>
    </row>
    <row r="260" spans="5:12" x14ac:dyDescent="0.25">
      <c r="E260" s="3"/>
      <c r="F260" s="15"/>
      <c r="G260" s="15"/>
      <c r="H260" s="15"/>
      <c r="I260" s="31"/>
      <c r="J260" s="31"/>
      <c r="K260" s="15"/>
      <c r="L260" s="16"/>
    </row>
    <row r="261" spans="5:12" x14ac:dyDescent="0.25">
      <c r="E261" s="3"/>
      <c r="F261" s="15"/>
      <c r="G261" s="15"/>
      <c r="H261" s="15"/>
      <c r="I261" s="31"/>
      <c r="J261" s="31"/>
      <c r="K261" s="15"/>
      <c r="L261" s="16"/>
    </row>
    <row r="262" spans="5:12" x14ac:dyDescent="0.25">
      <c r="E262" s="3"/>
      <c r="F262" s="15"/>
      <c r="G262" s="15"/>
      <c r="H262" s="15"/>
      <c r="I262" s="31"/>
      <c r="J262" s="31"/>
      <c r="K262" s="15"/>
      <c r="L262" s="16"/>
    </row>
    <row r="263" spans="5:12" x14ac:dyDescent="0.25">
      <c r="E263" s="3"/>
      <c r="F263" s="15"/>
      <c r="G263" s="15"/>
      <c r="H263" s="15"/>
      <c r="I263" s="31"/>
      <c r="J263" s="31"/>
      <c r="K263" s="15"/>
      <c r="L263" s="16"/>
    </row>
    <row r="264" spans="5:12" x14ac:dyDescent="0.25">
      <c r="E264" s="3"/>
      <c r="F264" s="15"/>
      <c r="G264" s="15"/>
      <c r="H264" s="15"/>
      <c r="I264" s="31"/>
      <c r="J264" s="31"/>
      <c r="K264" s="15"/>
      <c r="L264" s="16"/>
    </row>
    <row r="265" spans="5:12" x14ac:dyDescent="0.25">
      <c r="E265" s="3"/>
      <c r="F265" s="15"/>
      <c r="G265" s="15"/>
      <c r="H265" s="15"/>
      <c r="I265" s="31"/>
      <c r="J265" s="31"/>
      <c r="K265" s="15"/>
      <c r="L265" s="16"/>
    </row>
    <row r="266" spans="5:12" x14ac:dyDescent="0.25">
      <c r="E266" s="3"/>
      <c r="F266" s="15"/>
      <c r="G266" s="15"/>
      <c r="H266" s="15"/>
      <c r="I266" s="31"/>
      <c r="J266" s="31"/>
      <c r="K266" s="15"/>
      <c r="L266" s="16"/>
    </row>
    <row r="267" spans="5:12" x14ac:dyDescent="0.25">
      <c r="E267" s="3"/>
      <c r="F267" s="15"/>
      <c r="G267" s="15"/>
      <c r="H267" s="15"/>
      <c r="I267" s="31"/>
      <c r="J267" s="31"/>
      <c r="K267" s="15"/>
      <c r="L267" s="16"/>
    </row>
    <row r="268" spans="5:12" x14ac:dyDescent="0.25">
      <c r="E268" s="3"/>
      <c r="F268" s="15"/>
      <c r="G268" s="15"/>
      <c r="H268" s="15"/>
      <c r="I268" s="31"/>
      <c r="J268" s="31"/>
      <c r="K268" s="15"/>
      <c r="L268" s="16"/>
    </row>
    <row r="269" spans="5:12" x14ac:dyDescent="0.25">
      <c r="E269" s="3"/>
      <c r="F269" s="15"/>
      <c r="G269" s="15"/>
      <c r="H269" s="15"/>
      <c r="I269" s="31"/>
      <c r="J269" s="31"/>
      <c r="K269" s="15"/>
      <c r="L269" s="16"/>
    </row>
    <row r="270" spans="5:12" x14ac:dyDescent="0.25">
      <c r="E270" s="3"/>
      <c r="F270" s="15"/>
      <c r="G270" s="15"/>
      <c r="H270" s="15"/>
      <c r="I270" s="31"/>
      <c r="J270" s="31"/>
      <c r="K270" s="15"/>
      <c r="L270" s="16"/>
    </row>
    <row r="271" spans="5:12" x14ac:dyDescent="0.25">
      <c r="E271" s="3"/>
      <c r="F271" s="15"/>
      <c r="G271" s="15"/>
      <c r="H271" s="15"/>
      <c r="I271" s="31"/>
      <c r="J271" s="31"/>
      <c r="K271" s="15"/>
      <c r="L271" s="16"/>
    </row>
    <row r="272" spans="5:12" x14ac:dyDescent="0.25">
      <c r="E272" s="3"/>
      <c r="F272" s="15"/>
      <c r="G272" s="15"/>
      <c r="H272" s="15"/>
      <c r="I272" s="31"/>
      <c r="J272" s="31"/>
      <c r="K272" s="15"/>
      <c r="L272" s="16"/>
    </row>
    <row r="273" spans="5:12" x14ac:dyDescent="0.25">
      <c r="E273" s="3"/>
      <c r="F273" s="15"/>
      <c r="G273" s="15"/>
      <c r="H273" s="15"/>
      <c r="I273" s="31"/>
      <c r="J273" s="31"/>
      <c r="K273" s="15"/>
      <c r="L273" s="16"/>
    </row>
    <row r="274" spans="5:12" x14ac:dyDescent="0.25">
      <c r="E274" s="3"/>
      <c r="F274" s="15"/>
      <c r="G274" s="15"/>
      <c r="H274" s="15"/>
      <c r="I274" s="31"/>
      <c r="J274" s="31"/>
      <c r="K274" s="15"/>
      <c r="L274" s="16"/>
    </row>
    <row r="275" spans="5:12" x14ac:dyDescent="0.25">
      <c r="E275" s="3"/>
      <c r="F275" s="15"/>
      <c r="G275" s="15"/>
      <c r="H275" s="15"/>
      <c r="I275" s="31"/>
      <c r="J275" s="31"/>
      <c r="K275" s="15"/>
      <c r="L275" s="16"/>
    </row>
    <row r="276" spans="5:12" x14ac:dyDescent="0.25">
      <c r="E276" s="3"/>
      <c r="F276" s="15"/>
      <c r="G276" s="15"/>
      <c r="H276" s="15"/>
      <c r="I276" s="31"/>
      <c r="J276" s="31"/>
      <c r="K276" s="15"/>
      <c r="L276" s="16"/>
    </row>
    <row r="277" spans="5:12" x14ac:dyDescent="0.25">
      <c r="E277" s="3"/>
      <c r="F277" s="15"/>
      <c r="G277" s="15"/>
      <c r="H277" s="15"/>
      <c r="I277" s="31"/>
      <c r="J277" s="31"/>
      <c r="K277" s="15"/>
      <c r="L277" s="16"/>
    </row>
    <row r="278" spans="5:12" x14ac:dyDescent="0.25">
      <c r="E278" s="3"/>
      <c r="F278" s="15"/>
      <c r="G278" s="15"/>
      <c r="H278" s="15"/>
      <c r="I278" s="31"/>
      <c r="J278" s="31"/>
      <c r="K278" s="15"/>
      <c r="L278" s="16"/>
    </row>
    <row r="279" spans="5:12" x14ac:dyDescent="0.25">
      <c r="E279" s="3"/>
      <c r="F279" s="15"/>
      <c r="G279" s="15"/>
      <c r="H279" s="15"/>
      <c r="I279" s="31"/>
      <c r="J279" s="31"/>
      <c r="K279" s="15"/>
      <c r="L279" s="16"/>
    </row>
    <row r="280" spans="5:12" x14ac:dyDescent="0.25">
      <c r="E280" s="3"/>
      <c r="F280" s="15"/>
      <c r="G280" s="15"/>
      <c r="H280" s="15"/>
      <c r="I280" s="31"/>
      <c r="J280" s="31"/>
      <c r="K280" s="15"/>
      <c r="L280" s="16"/>
    </row>
    <row r="281" spans="5:12" x14ac:dyDescent="0.25">
      <c r="E281" s="3"/>
      <c r="F281" s="15"/>
      <c r="G281" s="15"/>
      <c r="H281" s="15"/>
      <c r="I281" s="31"/>
      <c r="J281" s="31"/>
      <c r="K281" s="15"/>
      <c r="L281" s="16"/>
    </row>
    <row r="282" spans="5:12" x14ac:dyDescent="0.25">
      <c r="E282" s="3"/>
      <c r="F282" s="15"/>
      <c r="G282" s="15"/>
      <c r="H282" s="15"/>
      <c r="I282" s="31"/>
      <c r="J282" s="31"/>
      <c r="K282" s="15"/>
      <c r="L282" s="16"/>
    </row>
    <row r="283" spans="5:12" x14ac:dyDescent="0.25">
      <c r="E283" s="3"/>
      <c r="F283" s="15"/>
      <c r="G283" s="15"/>
      <c r="H283" s="15"/>
      <c r="I283" s="31"/>
      <c r="J283" s="31"/>
      <c r="K283" s="15"/>
      <c r="L283" s="16"/>
    </row>
    <row r="284" spans="5:12" x14ac:dyDescent="0.25">
      <c r="E284" s="3"/>
      <c r="F284" s="15"/>
      <c r="G284" s="15"/>
      <c r="H284" s="15"/>
      <c r="I284" s="31"/>
      <c r="J284" s="31"/>
      <c r="K284" s="15"/>
      <c r="L284" s="16"/>
    </row>
    <row r="285" spans="5:12" x14ac:dyDescent="0.25">
      <c r="E285" s="3"/>
      <c r="F285" s="15"/>
      <c r="G285" s="15"/>
      <c r="H285" s="15"/>
      <c r="I285" s="31"/>
      <c r="J285" s="31"/>
      <c r="K285" s="15"/>
      <c r="L285" s="16"/>
    </row>
    <row r="286" spans="5:12" x14ac:dyDescent="0.25">
      <c r="E286" s="3"/>
      <c r="F286" s="15"/>
      <c r="G286" s="15"/>
      <c r="H286" s="15"/>
      <c r="I286" s="31"/>
      <c r="J286" s="31"/>
      <c r="K286" s="15"/>
      <c r="L286" s="16"/>
    </row>
    <row r="287" spans="5:12" x14ac:dyDescent="0.25">
      <c r="E287" s="3"/>
      <c r="F287" s="15"/>
      <c r="G287" s="15"/>
      <c r="H287" s="15"/>
      <c r="I287" s="31"/>
      <c r="J287" s="31"/>
      <c r="K287" s="15"/>
      <c r="L287" s="16"/>
    </row>
    <row r="288" spans="5:12" x14ac:dyDescent="0.25">
      <c r="E288" s="3"/>
      <c r="F288" s="15"/>
      <c r="G288" s="15"/>
      <c r="H288" s="15"/>
      <c r="I288" s="31"/>
      <c r="J288" s="31"/>
      <c r="K288" s="15"/>
      <c r="L288" s="16"/>
    </row>
    <row r="289" spans="5:12" x14ac:dyDescent="0.25">
      <c r="E289" s="3"/>
      <c r="F289" s="15"/>
      <c r="G289" s="15"/>
      <c r="H289" s="15"/>
      <c r="I289" s="31"/>
      <c r="J289" s="31"/>
      <c r="K289" s="15"/>
      <c r="L289" s="16"/>
    </row>
    <row r="290" spans="5:12" x14ac:dyDescent="0.25">
      <c r="E290" s="3"/>
      <c r="F290" s="15"/>
      <c r="G290" s="15"/>
      <c r="H290" s="15"/>
      <c r="I290" s="31"/>
      <c r="J290" s="31"/>
      <c r="K290" s="15"/>
      <c r="L290" s="16"/>
    </row>
    <row r="291" spans="5:12" x14ac:dyDescent="0.25">
      <c r="E291" s="3"/>
      <c r="F291" s="15"/>
      <c r="G291" s="15"/>
      <c r="H291" s="15"/>
      <c r="I291" s="31"/>
      <c r="J291" s="31"/>
      <c r="K291" s="15"/>
      <c r="L291" s="16"/>
    </row>
    <row r="292" spans="5:12" x14ac:dyDescent="0.25">
      <c r="E292" s="3"/>
      <c r="F292" s="3"/>
      <c r="G292" s="3"/>
      <c r="H292" s="3"/>
      <c r="I292" s="33"/>
      <c r="J292" s="33"/>
      <c r="K292" s="3"/>
    </row>
    <row r="293" spans="5:12" x14ac:dyDescent="0.25">
      <c r="E293" s="3"/>
      <c r="F293" s="3"/>
      <c r="G293" s="3"/>
      <c r="H293" s="3"/>
      <c r="I293" s="33"/>
      <c r="J293" s="33"/>
      <c r="K293" s="3"/>
    </row>
    <row r="294" spans="5:12" x14ac:dyDescent="0.25">
      <c r="E294" s="3"/>
      <c r="F294" s="3"/>
      <c r="G294" s="3"/>
      <c r="H294" s="3"/>
      <c r="I294" s="33"/>
      <c r="J294" s="33"/>
      <c r="K294" s="3"/>
    </row>
    <row r="295" spans="5:12" x14ac:dyDescent="0.25">
      <c r="E295" s="3"/>
      <c r="F295" s="3"/>
      <c r="G295" s="3"/>
      <c r="H295" s="3"/>
      <c r="I295" s="33"/>
      <c r="J295" s="33"/>
      <c r="K295" s="3"/>
    </row>
    <row r="296" spans="5:12" x14ac:dyDescent="0.25">
      <c r="E296" s="3"/>
      <c r="F296" s="3"/>
      <c r="G296" s="3"/>
      <c r="H296" s="3"/>
      <c r="I296" s="33"/>
      <c r="J296" s="33"/>
      <c r="K296" s="3"/>
    </row>
    <row r="297" spans="5:12" x14ac:dyDescent="0.25">
      <c r="E297" s="3"/>
      <c r="F297" s="3"/>
      <c r="G297" s="3"/>
      <c r="H297" s="3"/>
      <c r="I297" s="33"/>
      <c r="J297" s="33"/>
      <c r="K297" s="3"/>
    </row>
    <row r="298" spans="5:12" x14ac:dyDescent="0.25">
      <c r="E298" s="3"/>
      <c r="F298" s="3"/>
      <c r="G298" s="3"/>
      <c r="H298" s="3"/>
      <c r="I298" s="33"/>
      <c r="J298" s="33"/>
      <c r="K298" s="3"/>
    </row>
    <row r="299" spans="5:12" x14ac:dyDescent="0.25">
      <c r="E299" s="3"/>
      <c r="F299" s="3"/>
      <c r="G299" s="3"/>
      <c r="H299" s="3"/>
      <c r="I299" s="33"/>
      <c r="J299" s="33"/>
      <c r="K299" s="3"/>
    </row>
    <row r="300" spans="5:12" x14ac:dyDescent="0.25">
      <c r="E300" s="3"/>
      <c r="F300" s="3"/>
      <c r="G300" s="3"/>
      <c r="H300" s="3"/>
      <c r="I300" s="33"/>
      <c r="J300" s="33"/>
      <c r="K300" s="3"/>
    </row>
    <row r="301" spans="5:12" x14ac:dyDescent="0.25">
      <c r="E301" s="3"/>
      <c r="F301" s="3"/>
      <c r="G301" s="3"/>
      <c r="H301" s="3"/>
      <c r="I301" s="33"/>
      <c r="J301" s="33"/>
      <c r="K301" s="3"/>
    </row>
    <row r="302" spans="5:12" x14ac:dyDescent="0.25">
      <c r="E302" s="3"/>
      <c r="F302" s="3"/>
      <c r="G302" s="3"/>
      <c r="H302" s="3"/>
      <c r="I302" s="33"/>
      <c r="J302" s="33"/>
      <c r="K302" s="3"/>
    </row>
    <row r="303" spans="5:12" x14ac:dyDescent="0.25">
      <c r="E303" s="3"/>
      <c r="F303" s="3"/>
      <c r="G303" s="3"/>
      <c r="H303" s="3"/>
      <c r="I303" s="33"/>
      <c r="J303" s="33"/>
      <c r="K303" s="3"/>
    </row>
    <row r="304" spans="5:12" x14ac:dyDescent="0.25">
      <c r="E304" s="3"/>
      <c r="F304" s="3"/>
      <c r="G304" s="3"/>
      <c r="H304" s="3"/>
      <c r="I304" s="33"/>
      <c r="J304" s="33"/>
      <c r="K304" s="3"/>
    </row>
    <row r="305" spans="5:11" x14ac:dyDescent="0.25">
      <c r="E305" s="3"/>
      <c r="F305" s="3"/>
      <c r="G305" s="3"/>
      <c r="H305" s="3"/>
      <c r="I305" s="33"/>
      <c r="J305" s="33"/>
      <c r="K305" s="3"/>
    </row>
    <row r="306" spans="5:11" x14ac:dyDescent="0.25">
      <c r="E306" s="3"/>
      <c r="F306" s="3"/>
      <c r="G306" s="3"/>
      <c r="H306" s="3"/>
      <c r="I306" s="33"/>
      <c r="J306" s="33"/>
      <c r="K306" s="3"/>
    </row>
    <row r="307" spans="5:11" x14ac:dyDescent="0.25">
      <c r="E307" s="3"/>
      <c r="F307" s="3"/>
      <c r="G307" s="3"/>
      <c r="H307" s="3"/>
      <c r="I307" s="33"/>
      <c r="J307" s="33"/>
      <c r="K307" s="3"/>
    </row>
    <row r="308" spans="5:11" x14ac:dyDescent="0.25">
      <c r="E308" s="3"/>
      <c r="F308" s="3"/>
      <c r="G308" s="3"/>
      <c r="H308" s="3"/>
      <c r="I308" s="33"/>
      <c r="J308" s="33"/>
      <c r="K308" s="3"/>
    </row>
    <row r="309" spans="5:11" x14ac:dyDescent="0.25">
      <c r="E309" s="3"/>
      <c r="F309" s="3"/>
      <c r="G309" s="3"/>
      <c r="H309" s="3"/>
      <c r="I309" s="33"/>
      <c r="J309" s="33"/>
      <c r="K309" s="3"/>
    </row>
    <row r="310" spans="5:11" x14ac:dyDescent="0.25">
      <c r="E310" s="3"/>
      <c r="F310" s="3"/>
      <c r="G310" s="3"/>
      <c r="H310" s="3"/>
      <c r="I310" s="33"/>
      <c r="J310" s="33"/>
      <c r="K310" s="3"/>
    </row>
    <row r="311" spans="5:11" x14ac:dyDescent="0.25">
      <c r="E311" s="3"/>
      <c r="F311" s="3"/>
      <c r="G311" s="3"/>
      <c r="H311" s="3"/>
      <c r="I311" s="33"/>
      <c r="J311" s="33"/>
      <c r="K311" s="3"/>
    </row>
    <row r="312" spans="5:11" x14ac:dyDescent="0.25">
      <c r="E312" s="3"/>
      <c r="F312" s="3"/>
      <c r="G312" s="3"/>
      <c r="H312" s="3"/>
      <c r="I312" s="33"/>
      <c r="J312" s="33"/>
      <c r="K312" s="3"/>
    </row>
    <row r="313" spans="5:11" x14ac:dyDescent="0.25">
      <c r="E313" s="3"/>
      <c r="F313" s="3"/>
      <c r="G313" s="3"/>
      <c r="H313" s="3"/>
      <c r="I313" s="33"/>
      <c r="J313" s="33"/>
      <c r="K313" s="3"/>
    </row>
    <row r="314" spans="5:11" x14ac:dyDescent="0.25">
      <c r="E314" s="3"/>
      <c r="F314" s="3"/>
      <c r="G314" s="3"/>
      <c r="H314" s="3"/>
      <c r="I314" s="33"/>
      <c r="J314" s="33"/>
      <c r="K314" s="3"/>
    </row>
    <row r="315" spans="5:11" x14ac:dyDescent="0.25">
      <c r="E315" s="3"/>
      <c r="F315" s="3"/>
      <c r="G315" s="3"/>
      <c r="H315" s="3"/>
      <c r="I315" s="33"/>
      <c r="J315" s="33"/>
      <c r="K315" s="3"/>
    </row>
    <row r="316" spans="5:11" x14ac:dyDescent="0.25">
      <c r="E316" s="3"/>
      <c r="F316" s="3"/>
      <c r="G316" s="3"/>
      <c r="H316" s="3"/>
      <c r="I316" s="33"/>
      <c r="J316" s="33"/>
      <c r="K316" s="3"/>
    </row>
    <row r="317" spans="5:11" x14ac:dyDescent="0.25">
      <c r="E317" s="3"/>
      <c r="F317" s="3"/>
      <c r="G317" s="3"/>
      <c r="H317" s="3"/>
      <c r="I317" s="33"/>
      <c r="J317" s="33"/>
      <c r="K317" s="3"/>
    </row>
    <row r="318" spans="5:11" x14ac:dyDescent="0.25">
      <c r="E318" s="3"/>
      <c r="F318" s="3"/>
      <c r="G318" s="3"/>
      <c r="H318" s="3"/>
      <c r="I318" s="33"/>
      <c r="J318" s="33"/>
      <c r="K318" s="3"/>
    </row>
    <row r="319" spans="5:11" x14ac:dyDescent="0.25">
      <c r="E319" s="3"/>
      <c r="F319" s="3"/>
      <c r="G319" s="3"/>
      <c r="H319" s="3"/>
      <c r="I319" s="33"/>
      <c r="J319" s="33"/>
      <c r="K319" s="3"/>
    </row>
    <row r="320" spans="5:11" x14ac:dyDescent="0.25">
      <c r="E320" s="3"/>
      <c r="F320" s="3"/>
      <c r="G320" s="3"/>
      <c r="H320" s="3"/>
      <c r="I320" s="33"/>
      <c r="J320" s="33"/>
      <c r="K320" s="3"/>
    </row>
    <row r="321" spans="5:11" x14ac:dyDescent="0.25">
      <c r="E321" s="3"/>
      <c r="F321" s="3"/>
      <c r="G321" s="3"/>
      <c r="H321" s="3"/>
      <c r="I321" s="33"/>
      <c r="J321" s="33"/>
      <c r="K321" s="3"/>
    </row>
    <row r="322" spans="5:11" x14ac:dyDescent="0.25">
      <c r="E322" s="3"/>
      <c r="F322" s="3"/>
      <c r="G322" s="3"/>
      <c r="H322" s="3"/>
      <c r="I322" s="33"/>
      <c r="J322" s="33"/>
      <c r="K322" s="3"/>
    </row>
    <row r="323" spans="5:11" x14ac:dyDescent="0.25">
      <c r="E323" s="3"/>
      <c r="F323" s="3"/>
      <c r="G323" s="3"/>
      <c r="H323" s="3"/>
      <c r="I323" s="33"/>
      <c r="J323" s="33"/>
      <c r="K323" s="3"/>
    </row>
    <row r="324" spans="5:11" x14ac:dyDescent="0.25">
      <c r="E324" s="3"/>
      <c r="F324" s="3"/>
      <c r="G324" s="3"/>
      <c r="H324" s="3"/>
      <c r="I324" s="33"/>
      <c r="J324" s="33"/>
      <c r="K324" s="3"/>
    </row>
    <row r="325" spans="5:11" x14ac:dyDescent="0.25">
      <c r="E325" s="3"/>
      <c r="F325" s="3"/>
      <c r="G325" s="3"/>
      <c r="H325" s="3"/>
      <c r="I325" s="33"/>
      <c r="J325" s="33"/>
      <c r="K325" s="3"/>
    </row>
    <row r="326" spans="5:11" x14ac:dyDescent="0.25">
      <c r="E326" s="3"/>
      <c r="F326" s="3"/>
      <c r="G326" s="3"/>
      <c r="H326" s="3"/>
      <c r="I326" s="33"/>
      <c r="J326" s="33"/>
      <c r="K326" s="3"/>
    </row>
    <row r="327" spans="5:11" x14ac:dyDescent="0.25">
      <c r="E327" s="3"/>
      <c r="F327" s="3"/>
      <c r="G327" s="3"/>
      <c r="H327" s="3"/>
      <c r="I327" s="33"/>
      <c r="J327" s="33"/>
      <c r="K327" s="3"/>
    </row>
    <row r="328" spans="5:11" x14ac:dyDescent="0.25">
      <c r="E328" s="3"/>
      <c r="F328" s="3"/>
      <c r="G328" s="3"/>
      <c r="H328" s="3"/>
      <c r="I328" s="33"/>
      <c r="J328" s="33"/>
      <c r="K328" s="3"/>
    </row>
    <row r="329" spans="5:11" x14ac:dyDescent="0.25">
      <c r="E329" s="3"/>
      <c r="F329" s="3"/>
      <c r="G329" s="3"/>
      <c r="H329" s="3"/>
      <c r="I329" s="33"/>
      <c r="J329" s="33"/>
      <c r="K329" s="3"/>
    </row>
    <row r="330" spans="5:11" x14ac:dyDescent="0.25">
      <c r="E330" s="3"/>
      <c r="F330" s="3"/>
      <c r="G330" s="3"/>
      <c r="H330" s="3"/>
      <c r="I330" s="33"/>
      <c r="J330" s="33"/>
      <c r="K330" s="3"/>
    </row>
    <row r="331" spans="5:11" x14ac:dyDescent="0.25">
      <c r="E331" s="3"/>
      <c r="F331" s="3"/>
      <c r="G331" s="3"/>
      <c r="H331" s="3"/>
      <c r="I331" s="33"/>
      <c r="J331" s="33"/>
      <c r="K331" s="3"/>
    </row>
    <row r="332" spans="5:11" x14ac:dyDescent="0.25">
      <c r="E332" s="3"/>
      <c r="F332" s="3"/>
      <c r="G332" s="3"/>
      <c r="H332" s="3"/>
      <c r="I332" s="33"/>
      <c r="J332" s="33"/>
      <c r="K332" s="3"/>
    </row>
  </sheetData>
  <mergeCells count="197">
    <mergeCell ref="A84:A85"/>
    <mergeCell ref="A177:A178"/>
    <mergeCell ref="J177:J178"/>
    <mergeCell ref="I177:I178"/>
    <mergeCell ref="L177:L178"/>
    <mergeCell ref="M177:M178"/>
    <mergeCell ref="A35:A43"/>
    <mergeCell ref="I35:I43"/>
    <mergeCell ref="J35:J43"/>
    <mergeCell ref="L35:L43"/>
    <mergeCell ref="M35:M43"/>
    <mergeCell ref="A76:A78"/>
    <mergeCell ref="M76:M78"/>
    <mergeCell ref="L76:L78"/>
    <mergeCell ref="J76:J78"/>
    <mergeCell ref="I76:I78"/>
    <mergeCell ref="A65:A73"/>
    <mergeCell ref="L65:L73"/>
    <mergeCell ref="M65:M73"/>
    <mergeCell ref="J65:J73"/>
    <mergeCell ref="I65:I73"/>
    <mergeCell ref="A48:A59"/>
    <mergeCell ref="L48:L59"/>
    <mergeCell ref="M48:M59"/>
    <mergeCell ref="A87:A88"/>
    <mergeCell ref="I87:I88"/>
    <mergeCell ref="J87:J88"/>
    <mergeCell ref="L87:L88"/>
    <mergeCell ref="I90:I91"/>
    <mergeCell ref="J90:J91"/>
    <mergeCell ref="L90:L91"/>
    <mergeCell ref="A97:A98"/>
    <mergeCell ref="I97:I98"/>
    <mergeCell ref="J97:J98"/>
    <mergeCell ref="L97:L98"/>
    <mergeCell ref="M170:M172"/>
    <mergeCell ref="L170:L172"/>
    <mergeCell ref="J170:J172"/>
    <mergeCell ref="I170:I172"/>
    <mergeCell ref="A1:M1"/>
    <mergeCell ref="L5:L15"/>
    <mergeCell ref="M5:M15"/>
    <mergeCell ref="J5:J15"/>
    <mergeCell ref="I5:I15"/>
    <mergeCell ref="A5:A15"/>
    <mergeCell ref="A17:A23"/>
    <mergeCell ref="L17:L23"/>
    <mergeCell ref="M17:M23"/>
    <mergeCell ref="A27:A34"/>
    <mergeCell ref="L27:L34"/>
    <mergeCell ref="M27:M34"/>
    <mergeCell ref="J27:J34"/>
    <mergeCell ref="I27:I34"/>
    <mergeCell ref="M87:M88"/>
    <mergeCell ref="A90:A91"/>
    <mergeCell ref="A110:A116"/>
    <mergeCell ref="A120:A123"/>
    <mergeCell ref="I110:I116"/>
    <mergeCell ref="J92:J96"/>
    <mergeCell ref="A186:D186"/>
    <mergeCell ref="L92:L96"/>
    <mergeCell ref="L110:L116"/>
    <mergeCell ref="A92:A96"/>
    <mergeCell ref="L120:L123"/>
    <mergeCell ref="I92:I96"/>
    <mergeCell ref="J110:J116"/>
    <mergeCell ref="I120:I123"/>
    <mergeCell ref="J120:J123"/>
    <mergeCell ref="A125:A129"/>
    <mergeCell ref="I125:I129"/>
    <mergeCell ref="J125:J129"/>
    <mergeCell ref="L125:L129"/>
    <mergeCell ref="A135:A136"/>
    <mergeCell ref="A130:A132"/>
    <mergeCell ref="L135:L136"/>
    <mergeCell ref="A170:A172"/>
    <mergeCell ref="I144:I148"/>
    <mergeCell ref="A144:A148"/>
    <mergeCell ref="A149:A151"/>
    <mergeCell ref="L149:L151"/>
    <mergeCell ref="M90:M91"/>
    <mergeCell ref="I130:I132"/>
    <mergeCell ref="J130:J132"/>
    <mergeCell ref="L130:L132"/>
    <mergeCell ref="M130:M132"/>
    <mergeCell ref="M92:M96"/>
    <mergeCell ref="M120:M123"/>
    <mergeCell ref="M110:M116"/>
    <mergeCell ref="M125:M129"/>
    <mergeCell ref="L107:L109"/>
    <mergeCell ref="M107:M109"/>
    <mergeCell ref="J107:J109"/>
    <mergeCell ref="I107:I109"/>
    <mergeCell ref="L117:L118"/>
    <mergeCell ref="M117:M118"/>
    <mergeCell ref="J117:J118"/>
    <mergeCell ref="I117:I118"/>
    <mergeCell ref="M97:M98"/>
    <mergeCell ref="A44:A46"/>
    <mergeCell ref="M44:M46"/>
    <mergeCell ref="L44:L46"/>
    <mergeCell ref="J44:J46"/>
    <mergeCell ref="I44:I46"/>
    <mergeCell ref="L164:L165"/>
    <mergeCell ref="J164:J165"/>
    <mergeCell ref="I164:I165"/>
    <mergeCell ref="A160:A161"/>
    <mergeCell ref="I160:I161"/>
    <mergeCell ref="J160:J161"/>
    <mergeCell ref="L160:L161"/>
    <mergeCell ref="M160:M161"/>
    <mergeCell ref="A156:A159"/>
    <mergeCell ref="I156:I159"/>
    <mergeCell ref="J156:J159"/>
    <mergeCell ref="L156:L159"/>
    <mergeCell ref="M156:M159"/>
    <mergeCell ref="M135:M136"/>
    <mergeCell ref="J135:J136"/>
    <mergeCell ref="I135:I136"/>
    <mergeCell ref="A142:A143"/>
    <mergeCell ref="I142:I143"/>
    <mergeCell ref="J142:J143"/>
    <mergeCell ref="A61:A63"/>
    <mergeCell ref="L61:L63"/>
    <mergeCell ref="M61:M63"/>
    <mergeCell ref="J61:J63"/>
    <mergeCell ref="I61:I63"/>
    <mergeCell ref="J17:J23"/>
    <mergeCell ref="I17:I23"/>
    <mergeCell ref="A175:A176"/>
    <mergeCell ref="L175:L176"/>
    <mergeCell ref="J175:J176"/>
    <mergeCell ref="I175:I176"/>
    <mergeCell ref="M175:M176"/>
    <mergeCell ref="A167:A168"/>
    <mergeCell ref="L167:L168"/>
    <mergeCell ref="J167:J168"/>
    <mergeCell ref="I167:I168"/>
    <mergeCell ref="M167:M168"/>
    <mergeCell ref="A164:A165"/>
    <mergeCell ref="L74:L75"/>
    <mergeCell ref="M74:M75"/>
    <mergeCell ref="A80:A82"/>
    <mergeCell ref="L80:L82"/>
    <mergeCell ref="M80:M82"/>
    <mergeCell ref="M164:M165"/>
    <mergeCell ref="J74:J75"/>
    <mergeCell ref="I74:I75"/>
    <mergeCell ref="I80:I82"/>
    <mergeCell ref="J80:J82"/>
    <mergeCell ref="J84:J85"/>
    <mergeCell ref="I84:I85"/>
    <mergeCell ref="L84:L85"/>
    <mergeCell ref="M84:M85"/>
    <mergeCell ref="I48:I59"/>
    <mergeCell ref="J48:J59"/>
    <mergeCell ref="M149:M151"/>
    <mergeCell ref="J149:J151"/>
    <mergeCell ref="I149:I151"/>
    <mergeCell ref="A101:A104"/>
    <mergeCell ref="I101:I104"/>
    <mergeCell ref="J101:J104"/>
    <mergeCell ref="L101:L104"/>
    <mergeCell ref="M101:M104"/>
    <mergeCell ref="L142:L143"/>
    <mergeCell ref="M142:M143"/>
    <mergeCell ref="A137:A139"/>
    <mergeCell ref="L137:L139"/>
    <mergeCell ref="M137:M139"/>
    <mergeCell ref="J137:J139"/>
    <mergeCell ref="I137:I139"/>
    <mergeCell ref="A107:A109"/>
    <mergeCell ref="A117:A118"/>
    <mergeCell ref="A74:A75"/>
    <mergeCell ref="A179:A181"/>
    <mergeCell ref="L179:L181"/>
    <mergeCell ref="M179:M181"/>
    <mergeCell ref="J179:J181"/>
    <mergeCell ref="I179:I181"/>
    <mergeCell ref="A183:A184"/>
    <mergeCell ref="L183:L184"/>
    <mergeCell ref="J183:J184"/>
    <mergeCell ref="I183:I184"/>
    <mergeCell ref="M183:M184"/>
    <mergeCell ref="A153:A154"/>
    <mergeCell ref="L153:L154"/>
    <mergeCell ref="M153:M154"/>
    <mergeCell ref="J153:J154"/>
    <mergeCell ref="I153:I154"/>
    <mergeCell ref="A162:A163"/>
    <mergeCell ref="L162:L163"/>
    <mergeCell ref="M162:M163"/>
    <mergeCell ref="I162:I163"/>
    <mergeCell ref="J162:J163"/>
    <mergeCell ref="M144:M148"/>
    <mergeCell ref="L144:L148"/>
    <mergeCell ref="J144:J148"/>
  </mergeCells>
  <printOptions horizontalCentered="1"/>
  <pageMargins left="0" right="0" top="0.19685039370078741" bottom="0.15748031496062992" header="0.23622047244094491" footer="0.19685039370078741"/>
  <pageSetup paperSize="9" scale="65" orientation="landscape" r:id="rId1"/>
  <headerFooter>
    <oddHeader>&amp;RPágina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21" workbookViewId="0">
      <selection sqref="A1:F46"/>
    </sheetView>
  </sheetViews>
  <sheetFormatPr baseColWidth="10" defaultRowHeight="15" x14ac:dyDescent="0.25"/>
  <cols>
    <col min="1" max="1" width="3.140625" bestFit="1" customWidth="1"/>
    <col min="2" max="2" width="44.7109375" customWidth="1"/>
    <col min="3" max="3" width="10.140625" bestFit="1" customWidth="1"/>
    <col min="4" max="4" width="17.42578125" customWidth="1"/>
    <col min="5" max="5" width="11.7109375" customWidth="1"/>
    <col min="6" max="6" width="16.140625" customWidth="1"/>
  </cols>
  <sheetData>
    <row r="1" spans="1:6" ht="15.75" x14ac:dyDescent="0.25">
      <c r="A1" s="299" t="s">
        <v>377</v>
      </c>
      <c r="B1" s="299"/>
      <c r="C1" s="299"/>
      <c r="D1" s="299"/>
      <c r="E1" s="299"/>
      <c r="F1" s="299"/>
    </row>
    <row r="2" spans="1:6" ht="10.5" customHeight="1" x14ac:dyDescent="0.25">
      <c r="A2" s="101"/>
      <c r="B2" s="101"/>
      <c r="C2" s="101"/>
      <c r="D2" s="101"/>
    </row>
    <row r="3" spans="1:6" ht="34.5" customHeight="1" x14ac:dyDescent="0.25">
      <c r="A3" s="298" t="s">
        <v>375</v>
      </c>
      <c r="B3" s="298"/>
      <c r="C3" s="298"/>
      <c r="D3" s="298"/>
      <c r="E3" s="298"/>
      <c r="F3" s="298"/>
    </row>
    <row r="4" spans="1:6" ht="15.75" thickBot="1" x14ac:dyDescent="0.3">
      <c r="A4" s="4"/>
      <c r="C4" s="4"/>
      <c r="D4" s="4"/>
    </row>
    <row r="5" spans="1:6" ht="30.75" customHeight="1" thickBot="1" x14ac:dyDescent="0.3">
      <c r="A5" s="82" t="s">
        <v>7</v>
      </c>
      <c r="B5" s="300" t="s">
        <v>48</v>
      </c>
      <c r="C5" s="301"/>
      <c r="D5" s="84" t="s">
        <v>42</v>
      </c>
      <c r="E5" s="84" t="s">
        <v>43</v>
      </c>
    </row>
    <row r="6" spans="1:6" ht="45.75" customHeight="1" thickBot="1" x14ac:dyDescent="0.3">
      <c r="A6" s="83">
        <v>1</v>
      </c>
      <c r="B6" s="302" t="s">
        <v>376</v>
      </c>
      <c r="C6" s="303"/>
      <c r="D6" s="110">
        <v>689</v>
      </c>
      <c r="E6" s="111">
        <v>42</v>
      </c>
    </row>
    <row r="7" spans="1:6" ht="19.5" customHeight="1" thickBot="1" x14ac:dyDescent="0.3">
      <c r="A7" s="293" t="s">
        <v>14</v>
      </c>
      <c r="B7" s="294"/>
      <c r="C7" s="295"/>
      <c r="D7" s="81">
        <f>+D6</f>
        <v>689</v>
      </c>
      <c r="E7" s="81">
        <f>+E6</f>
        <v>42</v>
      </c>
    </row>
    <row r="8" spans="1:6" ht="21.75" customHeight="1" x14ac:dyDescent="0.25"/>
    <row r="9" spans="1:6" ht="47.25" customHeight="1" x14ac:dyDescent="0.25">
      <c r="A9" s="298" t="s">
        <v>374</v>
      </c>
      <c r="B9" s="298"/>
      <c r="C9" s="298"/>
      <c r="D9" s="298"/>
      <c r="E9" s="298"/>
      <c r="F9" s="298"/>
    </row>
    <row r="10" spans="1:6" ht="15.75" thickBot="1" x14ac:dyDescent="0.3"/>
    <row r="11" spans="1:6" ht="39" thickBot="1" x14ac:dyDescent="0.3">
      <c r="A11" s="112" t="s">
        <v>7</v>
      </c>
      <c r="B11" s="112" t="s">
        <v>41</v>
      </c>
      <c r="C11" s="113" t="s">
        <v>42</v>
      </c>
      <c r="D11" s="113" t="s">
        <v>49</v>
      </c>
      <c r="E11" s="114" t="s">
        <v>43</v>
      </c>
      <c r="F11" s="114" t="s">
        <v>50</v>
      </c>
    </row>
    <row r="12" spans="1:6" x14ac:dyDescent="0.25">
      <c r="A12" s="115">
        <v>1</v>
      </c>
      <c r="B12" s="228" t="s">
        <v>22</v>
      </c>
      <c r="C12" s="229">
        <v>130</v>
      </c>
      <c r="D12" s="230">
        <v>497087483.07000005</v>
      </c>
      <c r="E12" s="229">
        <v>5</v>
      </c>
      <c r="F12" s="231">
        <v>77529535.200000003</v>
      </c>
    </row>
    <row r="13" spans="1:6" x14ac:dyDescent="0.25">
      <c r="A13" s="116">
        <v>2</v>
      </c>
      <c r="B13" s="226" t="s">
        <v>21</v>
      </c>
      <c r="C13" s="227">
        <v>4</v>
      </c>
      <c r="D13" s="216">
        <v>520881980.19999999</v>
      </c>
      <c r="E13" s="227">
        <v>2</v>
      </c>
      <c r="F13" s="232">
        <v>575000</v>
      </c>
    </row>
    <row r="14" spans="1:6" x14ac:dyDescent="0.25">
      <c r="A14" s="116">
        <v>3</v>
      </c>
      <c r="B14" s="226" t="s">
        <v>12</v>
      </c>
      <c r="C14" s="227">
        <v>113</v>
      </c>
      <c r="D14" s="216">
        <v>204835793.77000001</v>
      </c>
      <c r="E14" s="227">
        <v>8</v>
      </c>
      <c r="F14" s="232">
        <v>631000</v>
      </c>
    </row>
    <row r="15" spans="1:6" x14ac:dyDescent="0.25">
      <c r="A15" s="116">
        <v>4</v>
      </c>
      <c r="B15" s="226" t="s">
        <v>30</v>
      </c>
      <c r="C15" s="227">
        <v>9</v>
      </c>
      <c r="D15" s="216">
        <v>6507590.1799999997</v>
      </c>
      <c r="E15" s="227">
        <v>0</v>
      </c>
      <c r="F15" s="232">
        <v>0</v>
      </c>
    </row>
    <row r="16" spans="1:6" x14ac:dyDescent="0.25">
      <c r="A16" s="116">
        <v>5</v>
      </c>
      <c r="B16" s="226" t="s">
        <v>25</v>
      </c>
      <c r="C16" s="227">
        <v>6</v>
      </c>
      <c r="D16" s="216">
        <v>4011743.66</v>
      </c>
      <c r="E16" s="227">
        <v>0</v>
      </c>
      <c r="F16" s="232">
        <v>0</v>
      </c>
    </row>
    <row r="17" spans="1:6" x14ac:dyDescent="0.25">
      <c r="A17" s="116">
        <v>6</v>
      </c>
      <c r="B17" s="226" t="s">
        <v>28</v>
      </c>
      <c r="C17" s="227">
        <v>11</v>
      </c>
      <c r="D17" s="216">
        <v>2737303.86</v>
      </c>
      <c r="E17" s="227">
        <v>0</v>
      </c>
      <c r="F17" s="232">
        <v>0</v>
      </c>
    </row>
    <row r="18" spans="1:6" x14ac:dyDescent="0.25">
      <c r="A18" s="116">
        <v>7</v>
      </c>
      <c r="B18" s="226" t="s">
        <v>301</v>
      </c>
      <c r="C18" s="227">
        <v>4</v>
      </c>
      <c r="D18" s="216">
        <v>473883</v>
      </c>
      <c r="E18" s="227">
        <v>0</v>
      </c>
      <c r="F18" s="232">
        <v>0</v>
      </c>
    </row>
    <row r="19" spans="1:6" x14ac:dyDescent="0.25">
      <c r="A19" s="116">
        <v>8</v>
      </c>
      <c r="B19" s="226" t="s">
        <v>15</v>
      </c>
      <c r="C19" s="227">
        <v>15</v>
      </c>
      <c r="D19" s="216">
        <v>8152139.54</v>
      </c>
      <c r="E19" s="227">
        <v>0</v>
      </c>
      <c r="F19" s="232">
        <v>0</v>
      </c>
    </row>
    <row r="20" spans="1:6" x14ac:dyDescent="0.25">
      <c r="A20" s="116">
        <v>9</v>
      </c>
      <c r="B20" s="226" t="s">
        <v>58</v>
      </c>
      <c r="C20" s="227">
        <v>4</v>
      </c>
      <c r="D20" s="216">
        <v>724848.79999999993</v>
      </c>
      <c r="E20" s="227">
        <v>1</v>
      </c>
      <c r="F20" s="232">
        <v>270400</v>
      </c>
    </row>
    <row r="21" spans="1:6" x14ac:dyDescent="0.25">
      <c r="A21" s="116">
        <v>10</v>
      </c>
      <c r="B21" s="226" t="s">
        <v>16</v>
      </c>
      <c r="C21" s="227">
        <v>14</v>
      </c>
      <c r="D21" s="216">
        <v>4429314.13</v>
      </c>
      <c r="E21" s="227">
        <v>0</v>
      </c>
      <c r="F21" s="232">
        <v>0</v>
      </c>
    </row>
    <row r="22" spans="1:6" x14ac:dyDescent="0.25">
      <c r="A22" s="116">
        <v>11</v>
      </c>
      <c r="B22" s="226" t="s">
        <v>32</v>
      </c>
      <c r="C22" s="227">
        <v>16</v>
      </c>
      <c r="D22" s="216">
        <v>8961282.5199999996</v>
      </c>
      <c r="E22" s="227">
        <v>0</v>
      </c>
      <c r="F22" s="232">
        <v>0</v>
      </c>
    </row>
    <row r="23" spans="1:6" x14ac:dyDescent="0.25">
      <c r="A23" s="116">
        <v>12</v>
      </c>
      <c r="B23" s="226" t="s">
        <v>54</v>
      </c>
      <c r="C23" s="227">
        <v>5</v>
      </c>
      <c r="D23" s="216">
        <v>790012.09</v>
      </c>
      <c r="E23" s="227">
        <v>0</v>
      </c>
      <c r="F23" s="232">
        <v>0</v>
      </c>
    </row>
    <row r="24" spans="1:6" x14ac:dyDescent="0.25">
      <c r="A24" s="116">
        <v>13</v>
      </c>
      <c r="B24" s="226" t="s">
        <v>51</v>
      </c>
      <c r="C24" s="227">
        <v>9</v>
      </c>
      <c r="D24" s="216">
        <v>2753191.94</v>
      </c>
      <c r="E24" s="227">
        <v>0</v>
      </c>
      <c r="F24" s="232">
        <v>0</v>
      </c>
    </row>
    <row r="25" spans="1:6" x14ac:dyDescent="0.25">
      <c r="A25" s="116">
        <v>14</v>
      </c>
      <c r="B25" s="226" t="s">
        <v>35</v>
      </c>
      <c r="C25" s="227">
        <v>5</v>
      </c>
      <c r="D25" s="216">
        <v>1023702.89</v>
      </c>
      <c r="E25" s="227">
        <v>0</v>
      </c>
      <c r="F25" s="232">
        <v>0</v>
      </c>
    </row>
    <row r="26" spans="1:6" x14ac:dyDescent="0.25">
      <c r="A26" s="116">
        <v>15</v>
      </c>
      <c r="B26" s="226" t="s">
        <v>26</v>
      </c>
      <c r="C26" s="227">
        <v>14</v>
      </c>
      <c r="D26" s="216">
        <v>9384278.9800000004</v>
      </c>
      <c r="E26" s="227">
        <v>1</v>
      </c>
      <c r="F26" s="232">
        <v>1000000</v>
      </c>
    </row>
    <row r="27" spans="1:6" x14ac:dyDescent="0.25">
      <c r="A27" s="116">
        <v>16</v>
      </c>
      <c r="B27" s="226" t="s">
        <v>33</v>
      </c>
      <c r="C27" s="227">
        <v>4</v>
      </c>
      <c r="D27" s="216">
        <v>1066767.3999999999</v>
      </c>
      <c r="E27" s="227">
        <v>0</v>
      </c>
      <c r="F27" s="232">
        <v>0</v>
      </c>
    </row>
    <row r="28" spans="1:6" x14ac:dyDescent="0.25">
      <c r="A28" s="116">
        <v>17</v>
      </c>
      <c r="B28" s="226" t="s">
        <v>56</v>
      </c>
      <c r="C28" s="227">
        <v>14</v>
      </c>
      <c r="D28" s="216">
        <v>15778211.57</v>
      </c>
      <c r="E28" s="227">
        <v>0</v>
      </c>
      <c r="F28" s="232">
        <v>0</v>
      </c>
    </row>
    <row r="29" spans="1:6" x14ac:dyDescent="0.25">
      <c r="A29" s="116">
        <v>18</v>
      </c>
      <c r="B29" s="226" t="s">
        <v>55</v>
      </c>
      <c r="C29" s="227">
        <v>57</v>
      </c>
      <c r="D29" s="216">
        <v>24716470.809999999</v>
      </c>
      <c r="E29" s="227">
        <v>0</v>
      </c>
      <c r="F29" s="232">
        <v>0</v>
      </c>
    </row>
    <row r="30" spans="1:6" x14ac:dyDescent="0.25">
      <c r="A30" s="116">
        <v>19</v>
      </c>
      <c r="B30" s="226" t="s">
        <v>11</v>
      </c>
      <c r="C30" s="227">
        <v>65</v>
      </c>
      <c r="D30" s="216">
        <v>43659733.370000005</v>
      </c>
      <c r="E30" s="227">
        <v>1</v>
      </c>
      <c r="F30" s="232">
        <v>7032500</v>
      </c>
    </row>
    <row r="31" spans="1:6" x14ac:dyDescent="0.25">
      <c r="A31" s="116">
        <v>20</v>
      </c>
      <c r="B31" s="226" t="s">
        <v>17</v>
      </c>
      <c r="C31" s="227">
        <v>7</v>
      </c>
      <c r="D31" s="216">
        <v>1994014.4300000002</v>
      </c>
      <c r="E31" s="227">
        <v>4</v>
      </c>
      <c r="F31" s="232">
        <v>1160127</v>
      </c>
    </row>
    <row r="32" spans="1:6" x14ac:dyDescent="0.25">
      <c r="A32" s="116">
        <v>21</v>
      </c>
      <c r="B32" s="226" t="s">
        <v>34</v>
      </c>
      <c r="C32" s="227">
        <v>3</v>
      </c>
      <c r="D32" s="216">
        <v>701300</v>
      </c>
      <c r="E32" s="227">
        <v>4</v>
      </c>
      <c r="F32" s="232">
        <v>295000</v>
      </c>
    </row>
    <row r="33" spans="1:6" x14ac:dyDescent="0.25">
      <c r="A33" s="116">
        <v>22</v>
      </c>
      <c r="B33" s="226" t="s">
        <v>18</v>
      </c>
      <c r="C33" s="227">
        <v>10</v>
      </c>
      <c r="D33" s="216">
        <v>2810101.19</v>
      </c>
      <c r="E33" s="227">
        <v>1</v>
      </c>
      <c r="F33" s="232">
        <v>878939.52</v>
      </c>
    </row>
    <row r="34" spans="1:6" x14ac:dyDescent="0.25">
      <c r="A34" s="116">
        <v>23</v>
      </c>
      <c r="B34" s="226" t="s">
        <v>179</v>
      </c>
      <c r="C34" s="227">
        <v>7</v>
      </c>
      <c r="D34" s="216">
        <v>1547486.9</v>
      </c>
      <c r="E34" s="227">
        <v>0</v>
      </c>
      <c r="F34" s="232">
        <v>0</v>
      </c>
    </row>
    <row r="35" spans="1:6" x14ac:dyDescent="0.25">
      <c r="A35" s="116">
        <v>24</v>
      </c>
      <c r="B35" s="226" t="s">
        <v>29</v>
      </c>
      <c r="C35" s="227">
        <v>6</v>
      </c>
      <c r="D35" s="216">
        <v>652386.92999999993</v>
      </c>
      <c r="E35" s="227">
        <v>0</v>
      </c>
      <c r="F35" s="232">
        <v>0</v>
      </c>
    </row>
    <row r="36" spans="1:6" x14ac:dyDescent="0.25">
      <c r="A36" s="116">
        <v>25</v>
      </c>
      <c r="B36" s="226" t="s">
        <v>13</v>
      </c>
      <c r="C36" s="227">
        <v>18</v>
      </c>
      <c r="D36" s="216">
        <v>5707194.8299999991</v>
      </c>
      <c r="E36" s="227">
        <v>1</v>
      </c>
      <c r="F36" s="232">
        <v>535106.5</v>
      </c>
    </row>
    <row r="37" spans="1:6" x14ac:dyDescent="0.25">
      <c r="A37" s="116">
        <v>26</v>
      </c>
      <c r="B37" s="226" t="s">
        <v>27</v>
      </c>
      <c r="C37" s="227">
        <v>10</v>
      </c>
      <c r="D37" s="216">
        <v>1506957.0300000003</v>
      </c>
      <c r="E37" s="227">
        <v>3</v>
      </c>
      <c r="F37" s="232">
        <v>959960</v>
      </c>
    </row>
    <row r="38" spans="1:6" x14ac:dyDescent="0.25">
      <c r="A38" s="116">
        <v>27</v>
      </c>
      <c r="B38" s="226" t="s">
        <v>23</v>
      </c>
      <c r="C38" s="227">
        <v>23</v>
      </c>
      <c r="D38" s="216">
        <v>5447224.8799999999</v>
      </c>
      <c r="E38" s="227">
        <v>1</v>
      </c>
      <c r="F38" s="232">
        <v>281950</v>
      </c>
    </row>
    <row r="39" spans="1:6" x14ac:dyDescent="0.25">
      <c r="A39" s="116">
        <v>28</v>
      </c>
      <c r="B39" s="226" t="s">
        <v>59</v>
      </c>
      <c r="C39" s="227">
        <v>8</v>
      </c>
      <c r="D39" s="216">
        <v>5488726.5899999999</v>
      </c>
      <c r="E39" s="227">
        <v>0</v>
      </c>
      <c r="F39" s="232">
        <v>0</v>
      </c>
    </row>
    <row r="40" spans="1:6" x14ac:dyDescent="0.25">
      <c r="A40" s="116">
        <v>29</v>
      </c>
      <c r="B40" s="226" t="s">
        <v>24</v>
      </c>
      <c r="C40" s="227">
        <v>1</v>
      </c>
      <c r="D40" s="216">
        <v>2943000</v>
      </c>
      <c r="E40" s="227">
        <v>0</v>
      </c>
      <c r="F40" s="232">
        <v>0</v>
      </c>
    </row>
    <row r="41" spans="1:6" x14ac:dyDescent="0.25">
      <c r="A41" s="116">
        <v>30</v>
      </c>
      <c r="B41" s="226" t="s">
        <v>19</v>
      </c>
      <c r="C41" s="227">
        <v>9</v>
      </c>
      <c r="D41" s="216">
        <v>4521178.72</v>
      </c>
      <c r="E41" s="227">
        <v>10</v>
      </c>
      <c r="F41" s="232">
        <v>510918</v>
      </c>
    </row>
    <row r="42" spans="1:6" x14ac:dyDescent="0.25">
      <c r="A42" s="116">
        <v>31</v>
      </c>
      <c r="B42" s="226" t="s">
        <v>20</v>
      </c>
      <c r="C42" s="227">
        <v>24</v>
      </c>
      <c r="D42" s="216">
        <v>46288646.630000003</v>
      </c>
      <c r="E42" s="227">
        <v>0</v>
      </c>
      <c r="F42" s="232">
        <v>0</v>
      </c>
    </row>
    <row r="43" spans="1:6" x14ac:dyDescent="0.25">
      <c r="A43" s="116">
        <v>32</v>
      </c>
      <c r="B43" s="226" t="s">
        <v>31</v>
      </c>
      <c r="C43" s="227">
        <v>31</v>
      </c>
      <c r="D43" s="216">
        <v>29835367.5</v>
      </c>
      <c r="E43" s="227">
        <v>0</v>
      </c>
      <c r="F43" s="232">
        <v>0</v>
      </c>
    </row>
    <row r="44" spans="1:6" ht="15.75" thickBot="1" x14ac:dyDescent="0.3">
      <c r="A44" s="117">
        <v>33</v>
      </c>
      <c r="B44" s="233" t="s">
        <v>57</v>
      </c>
      <c r="C44" s="234">
        <v>33</v>
      </c>
      <c r="D44" s="235">
        <v>49769783.939999998</v>
      </c>
      <c r="E44" s="234">
        <v>0</v>
      </c>
      <c r="F44" s="236">
        <v>0</v>
      </c>
    </row>
    <row r="45" spans="1:6" ht="24.75" customHeight="1" thickBot="1" x14ac:dyDescent="0.3">
      <c r="A45" s="296" t="s">
        <v>14</v>
      </c>
      <c r="B45" s="297"/>
      <c r="C45" s="100">
        <f>SUM(C12:C44)</f>
        <v>689</v>
      </c>
      <c r="D45" s="102">
        <f>SUM(D12:D44)</f>
        <v>1517189101.3500006</v>
      </c>
      <c r="E45" s="100">
        <f>SUM(E12:E44)</f>
        <v>42</v>
      </c>
      <c r="F45" s="102">
        <f>SUM(F12:F44)</f>
        <v>91660436.219999999</v>
      </c>
    </row>
    <row r="46" spans="1:6" x14ac:dyDescent="0.25">
      <c r="D46" s="99"/>
      <c r="F46" s="17"/>
    </row>
  </sheetData>
  <sortState ref="B4:F30">
    <sortCondition descending="1" ref="D4:D30"/>
  </sortState>
  <mergeCells count="7">
    <mergeCell ref="A7:C7"/>
    <mergeCell ref="A45:B45"/>
    <mergeCell ref="A9:F9"/>
    <mergeCell ref="A1:F1"/>
    <mergeCell ref="A3:F3"/>
    <mergeCell ref="B5:C5"/>
    <mergeCell ref="B6:C6"/>
  </mergeCells>
  <printOptions horizontalCentered="1"/>
  <pageMargins left="0" right="0" top="0.98425196850393704" bottom="0.74803149606299213" header="0.47244094488188981" footer="0.31496062992125984"/>
  <pageSetup paperSize="9" scale="86" orientation="portrait" r:id="rId1"/>
  <headerFooter>
    <oddHeader>&amp;RPágina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8"/>
  <sheetViews>
    <sheetView workbookViewId="0">
      <selection activeCell="C39" sqref="C39"/>
    </sheetView>
  </sheetViews>
  <sheetFormatPr baseColWidth="10" defaultRowHeight="15" x14ac:dyDescent="0.25"/>
  <cols>
    <col min="1" max="1" width="45.5703125" customWidth="1"/>
    <col min="2" max="2" width="21.28515625" bestFit="1" customWidth="1"/>
    <col min="3" max="3" width="21" bestFit="1" customWidth="1"/>
    <col min="4" max="4" width="21.5703125" bestFit="1" customWidth="1"/>
    <col min="5" max="5" width="24.28515625" bestFit="1" customWidth="1"/>
    <col min="6" max="6" width="7" customWidth="1"/>
    <col min="7" max="7" width="10" customWidth="1"/>
    <col min="8" max="8" width="9" customWidth="1"/>
    <col min="9" max="9" width="10" customWidth="1"/>
    <col min="10" max="10" width="7" customWidth="1"/>
    <col min="11" max="14" width="11" customWidth="1"/>
    <col min="15" max="15" width="8" customWidth="1"/>
    <col min="16" max="16" width="10" customWidth="1"/>
    <col min="17" max="18" width="8" customWidth="1"/>
    <col min="19" max="20" width="11" customWidth="1"/>
    <col min="21" max="21" width="10" customWidth="1"/>
    <col min="22" max="28" width="11" customWidth="1"/>
    <col min="29" max="29" width="10" customWidth="1"/>
    <col min="30" max="34" width="11" customWidth="1"/>
    <col min="35" max="35" width="10" customWidth="1"/>
    <col min="36" max="36" width="11" customWidth="1"/>
    <col min="37" max="37" width="10" customWidth="1"/>
    <col min="38" max="48" width="11" customWidth="1"/>
    <col min="49" max="57" width="12" bestFit="1" customWidth="1"/>
    <col min="58" max="58" width="11" customWidth="1"/>
    <col min="59" max="66" width="12" bestFit="1" customWidth="1"/>
    <col min="67" max="67" width="11" customWidth="1"/>
    <col min="68" max="70" width="12" bestFit="1" customWidth="1"/>
    <col min="71" max="71" width="11" customWidth="1"/>
    <col min="72" max="72" width="12" bestFit="1" customWidth="1"/>
    <col min="73" max="73" width="12.5703125" bestFit="1" customWidth="1"/>
  </cols>
  <sheetData>
    <row r="3" spans="1:5" s="222" customFormat="1" ht="57.75" customHeight="1" x14ac:dyDescent="0.25">
      <c r="A3" s="221" t="s">
        <v>36</v>
      </c>
      <c r="B3" s="223" t="s">
        <v>46</v>
      </c>
      <c r="C3" s="223" t="s">
        <v>37</v>
      </c>
      <c r="D3" s="223" t="s">
        <v>47</v>
      </c>
      <c r="E3" s="223" t="s">
        <v>40</v>
      </c>
    </row>
    <row r="4" spans="1:5" x14ac:dyDescent="0.25">
      <c r="A4" s="79" t="s">
        <v>22</v>
      </c>
      <c r="B4" s="17">
        <v>497087483.07000005</v>
      </c>
      <c r="C4" s="80">
        <v>130</v>
      </c>
      <c r="D4" s="17">
        <v>77529535.200000003</v>
      </c>
      <c r="E4" s="80">
        <v>5</v>
      </c>
    </row>
    <row r="5" spans="1:5" x14ac:dyDescent="0.25">
      <c r="A5" s="79" t="s">
        <v>21</v>
      </c>
      <c r="B5" s="17">
        <v>520881980.19999999</v>
      </c>
      <c r="C5" s="80">
        <v>4</v>
      </c>
      <c r="D5" s="17">
        <v>575000</v>
      </c>
      <c r="E5" s="80">
        <v>2</v>
      </c>
    </row>
    <row r="6" spans="1:5" x14ac:dyDescent="0.25">
      <c r="A6" s="79" t="s">
        <v>12</v>
      </c>
      <c r="B6" s="17">
        <v>204835793.77000001</v>
      </c>
      <c r="C6" s="80">
        <v>113</v>
      </c>
      <c r="D6" s="17">
        <v>631000</v>
      </c>
      <c r="E6" s="80">
        <v>8</v>
      </c>
    </row>
    <row r="7" spans="1:5" x14ac:dyDescent="0.25">
      <c r="A7" s="79" t="s">
        <v>30</v>
      </c>
      <c r="B7" s="17">
        <v>6507590.1799999997</v>
      </c>
      <c r="C7" s="80">
        <v>9</v>
      </c>
      <c r="D7" s="17">
        <v>0</v>
      </c>
      <c r="E7" s="80">
        <v>0</v>
      </c>
    </row>
    <row r="8" spans="1:5" x14ac:dyDescent="0.25">
      <c r="A8" s="79" t="s">
        <v>25</v>
      </c>
      <c r="B8" s="17">
        <v>4011743.66</v>
      </c>
      <c r="C8" s="80">
        <v>6</v>
      </c>
      <c r="D8" s="17">
        <v>0</v>
      </c>
      <c r="E8" s="80">
        <v>0</v>
      </c>
    </row>
    <row r="9" spans="1:5" x14ac:dyDescent="0.25">
      <c r="A9" s="79" t="s">
        <v>28</v>
      </c>
      <c r="B9" s="17">
        <v>2737303.86</v>
      </c>
      <c r="C9" s="80">
        <v>11</v>
      </c>
      <c r="D9" s="17">
        <v>0</v>
      </c>
      <c r="E9" s="80">
        <v>0</v>
      </c>
    </row>
    <row r="10" spans="1:5" x14ac:dyDescent="0.25">
      <c r="A10" s="79" t="s">
        <v>301</v>
      </c>
      <c r="B10" s="17">
        <v>473883</v>
      </c>
      <c r="C10" s="80">
        <v>4</v>
      </c>
      <c r="D10" s="17">
        <v>0</v>
      </c>
      <c r="E10" s="80">
        <v>0</v>
      </c>
    </row>
    <row r="11" spans="1:5" x14ac:dyDescent="0.25">
      <c r="A11" s="79" t="s">
        <v>15</v>
      </c>
      <c r="B11" s="17">
        <v>8152139.54</v>
      </c>
      <c r="C11" s="80">
        <v>15</v>
      </c>
      <c r="D11" s="17">
        <v>0</v>
      </c>
      <c r="E11" s="80">
        <v>0</v>
      </c>
    </row>
    <row r="12" spans="1:5" x14ac:dyDescent="0.25">
      <c r="A12" s="79" t="s">
        <v>58</v>
      </c>
      <c r="B12" s="17">
        <v>724848.79999999993</v>
      </c>
      <c r="C12" s="80">
        <v>4</v>
      </c>
      <c r="D12" s="17">
        <v>270400</v>
      </c>
      <c r="E12" s="80">
        <v>1</v>
      </c>
    </row>
    <row r="13" spans="1:5" x14ac:dyDescent="0.25">
      <c r="A13" s="79" t="s">
        <v>16</v>
      </c>
      <c r="B13" s="17">
        <v>4429314.13</v>
      </c>
      <c r="C13" s="80">
        <v>14</v>
      </c>
      <c r="D13" s="17">
        <v>0</v>
      </c>
      <c r="E13" s="80">
        <v>0</v>
      </c>
    </row>
    <row r="14" spans="1:5" x14ac:dyDescent="0.25">
      <c r="A14" s="79" t="s">
        <v>32</v>
      </c>
      <c r="B14" s="17">
        <v>8961282.5199999996</v>
      </c>
      <c r="C14" s="80">
        <v>16</v>
      </c>
      <c r="D14" s="17">
        <v>0</v>
      </c>
      <c r="E14" s="80">
        <v>0</v>
      </c>
    </row>
    <row r="15" spans="1:5" x14ac:dyDescent="0.25">
      <c r="A15" s="79" t="s">
        <v>54</v>
      </c>
      <c r="B15" s="17">
        <v>790012.09</v>
      </c>
      <c r="C15" s="80">
        <v>5</v>
      </c>
      <c r="D15" s="17">
        <v>0</v>
      </c>
      <c r="E15" s="80">
        <v>0</v>
      </c>
    </row>
    <row r="16" spans="1:5" x14ac:dyDescent="0.25">
      <c r="A16" s="79" t="s">
        <v>51</v>
      </c>
      <c r="B16" s="17">
        <v>2753191.94</v>
      </c>
      <c r="C16" s="80">
        <v>9</v>
      </c>
      <c r="D16" s="17">
        <v>0</v>
      </c>
      <c r="E16" s="80">
        <v>0</v>
      </c>
    </row>
    <row r="17" spans="1:5" x14ac:dyDescent="0.25">
      <c r="A17" s="79" t="s">
        <v>35</v>
      </c>
      <c r="B17" s="17">
        <v>1023702.89</v>
      </c>
      <c r="C17" s="80">
        <v>5</v>
      </c>
      <c r="D17" s="17">
        <v>0</v>
      </c>
      <c r="E17" s="80">
        <v>0</v>
      </c>
    </row>
    <row r="18" spans="1:5" x14ac:dyDescent="0.25">
      <c r="A18" s="79" t="s">
        <v>26</v>
      </c>
      <c r="B18" s="17">
        <v>9384278.9800000004</v>
      </c>
      <c r="C18" s="80">
        <v>14</v>
      </c>
      <c r="D18" s="17">
        <v>1000000</v>
      </c>
      <c r="E18" s="80">
        <v>1</v>
      </c>
    </row>
    <row r="19" spans="1:5" x14ac:dyDescent="0.25">
      <c r="A19" s="79" t="s">
        <v>33</v>
      </c>
      <c r="B19" s="17">
        <v>1066767.3999999999</v>
      </c>
      <c r="C19" s="80">
        <v>4</v>
      </c>
      <c r="D19" s="17">
        <v>0</v>
      </c>
      <c r="E19" s="80">
        <v>0</v>
      </c>
    </row>
    <row r="20" spans="1:5" x14ac:dyDescent="0.25">
      <c r="A20" s="79" t="s">
        <v>56</v>
      </c>
      <c r="B20" s="17">
        <v>15778211.57</v>
      </c>
      <c r="C20" s="80">
        <v>14</v>
      </c>
      <c r="D20" s="17">
        <v>0</v>
      </c>
      <c r="E20" s="80">
        <v>0</v>
      </c>
    </row>
    <row r="21" spans="1:5" x14ac:dyDescent="0.25">
      <c r="A21" s="79" t="s">
        <v>55</v>
      </c>
      <c r="B21" s="17">
        <v>24716470.809999999</v>
      </c>
      <c r="C21" s="80">
        <v>57</v>
      </c>
      <c r="D21" s="17">
        <v>0</v>
      </c>
      <c r="E21" s="80">
        <v>0</v>
      </c>
    </row>
    <row r="22" spans="1:5" x14ac:dyDescent="0.25">
      <c r="A22" s="79" t="s">
        <v>11</v>
      </c>
      <c r="B22" s="17">
        <v>43659733.370000005</v>
      </c>
      <c r="C22" s="80">
        <v>65</v>
      </c>
      <c r="D22" s="17">
        <v>7032500</v>
      </c>
      <c r="E22" s="80">
        <v>1</v>
      </c>
    </row>
    <row r="23" spans="1:5" x14ac:dyDescent="0.25">
      <c r="A23" s="79" t="s">
        <v>17</v>
      </c>
      <c r="B23" s="17">
        <v>1994014.4300000002</v>
      </c>
      <c r="C23" s="80">
        <v>7</v>
      </c>
      <c r="D23" s="17">
        <v>1160127</v>
      </c>
      <c r="E23" s="80">
        <v>4</v>
      </c>
    </row>
    <row r="24" spans="1:5" x14ac:dyDescent="0.25">
      <c r="A24" s="79" t="s">
        <v>34</v>
      </c>
      <c r="B24" s="17">
        <v>701300</v>
      </c>
      <c r="C24" s="80">
        <v>3</v>
      </c>
      <c r="D24" s="17">
        <v>295000</v>
      </c>
      <c r="E24" s="80">
        <v>4</v>
      </c>
    </row>
    <row r="25" spans="1:5" x14ac:dyDescent="0.25">
      <c r="A25" s="79" t="s">
        <v>18</v>
      </c>
      <c r="B25" s="17">
        <v>2810101.19</v>
      </c>
      <c r="C25" s="80">
        <v>10</v>
      </c>
      <c r="D25" s="17">
        <v>878939.52</v>
      </c>
      <c r="E25" s="80">
        <v>1</v>
      </c>
    </row>
    <row r="26" spans="1:5" x14ac:dyDescent="0.25">
      <c r="A26" s="79" t="s">
        <v>179</v>
      </c>
      <c r="B26" s="17">
        <v>1547486.9</v>
      </c>
      <c r="C26" s="80">
        <v>7</v>
      </c>
      <c r="D26" s="17">
        <v>0</v>
      </c>
      <c r="E26" s="80">
        <v>0</v>
      </c>
    </row>
    <row r="27" spans="1:5" x14ac:dyDescent="0.25">
      <c r="A27" s="79" t="s">
        <v>29</v>
      </c>
      <c r="B27" s="17">
        <v>652386.92999999993</v>
      </c>
      <c r="C27" s="80">
        <v>6</v>
      </c>
      <c r="D27" s="17">
        <v>0</v>
      </c>
      <c r="E27" s="80">
        <v>0</v>
      </c>
    </row>
    <row r="28" spans="1:5" x14ac:dyDescent="0.25">
      <c r="A28" s="79" t="s">
        <v>13</v>
      </c>
      <c r="B28" s="17">
        <v>5707194.8299999991</v>
      </c>
      <c r="C28" s="80">
        <v>18</v>
      </c>
      <c r="D28" s="17">
        <v>535106.5</v>
      </c>
      <c r="E28" s="80">
        <v>1</v>
      </c>
    </row>
    <row r="29" spans="1:5" x14ac:dyDescent="0.25">
      <c r="A29" s="79" t="s">
        <v>27</v>
      </c>
      <c r="B29" s="17">
        <v>1506957.0300000003</v>
      </c>
      <c r="C29" s="80">
        <v>10</v>
      </c>
      <c r="D29" s="17">
        <v>959960</v>
      </c>
      <c r="E29" s="80">
        <v>3</v>
      </c>
    </row>
    <row r="30" spans="1:5" x14ac:dyDescent="0.25">
      <c r="A30" s="79" t="s">
        <v>23</v>
      </c>
      <c r="B30" s="17">
        <v>5447224.8799999999</v>
      </c>
      <c r="C30" s="80">
        <v>23</v>
      </c>
      <c r="D30" s="17">
        <v>281950</v>
      </c>
      <c r="E30" s="80">
        <v>1</v>
      </c>
    </row>
    <row r="31" spans="1:5" x14ac:dyDescent="0.25">
      <c r="A31" s="79" t="s">
        <v>59</v>
      </c>
      <c r="B31" s="17">
        <v>5488726.5899999999</v>
      </c>
      <c r="C31" s="80">
        <v>8</v>
      </c>
      <c r="D31" s="17">
        <v>0</v>
      </c>
      <c r="E31" s="80">
        <v>0</v>
      </c>
    </row>
    <row r="32" spans="1:5" x14ac:dyDescent="0.25">
      <c r="A32" s="79" t="s">
        <v>24</v>
      </c>
      <c r="B32" s="17">
        <v>2943000</v>
      </c>
      <c r="C32" s="80">
        <v>1</v>
      </c>
      <c r="D32" s="17">
        <v>0</v>
      </c>
      <c r="E32" s="80">
        <v>0</v>
      </c>
    </row>
    <row r="33" spans="1:5" x14ac:dyDescent="0.25">
      <c r="A33" s="79" t="s">
        <v>19</v>
      </c>
      <c r="B33" s="17">
        <v>4521178.72</v>
      </c>
      <c r="C33" s="80">
        <v>9</v>
      </c>
      <c r="D33" s="17">
        <v>510918</v>
      </c>
      <c r="E33" s="80">
        <v>10</v>
      </c>
    </row>
    <row r="34" spans="1:5" x14ac:dyDescent="0.25">
      <c r="A34" s="79" t="s">
        <v>20</v>
      </c>
      <c r="B34" s="17">
        <v>46288646.630000003</v>
      </c>
      <c r="C34" s="80">
        <v>24</v>
      </c>
      <c r="D34" s="17">
        <v>0</v>
      </c>
      <c r="E34" s="80">
        <v>0</v>
      </c>
    </row>
    <row r="35" spans="1:5" x14ac:dyDescent="0.25">
      <c r="A35" s="79" t="s">
        <v>31</v>
      </c>
      <c r="B35" s="17">
        <v>29835367.5</v>
      </c>
      <c r="C35" s="80">
        <v>31</v>
      </c>
      <c r="D35" s="17">
        <v>0</v>
      </c>
      <c r="E35" s="80">
        <v>0</v>
      </c>
    </row>
    <row r="36" spans="1:5" x14ac:dyDescent="0.25">
      <c r="A36" s="79" t="s">
        <v>57</v>
      </c>
      <c r="B36" s="17">
        <v>49769783.939999998</v>
      </c>
      <c r="C36" s="80">
        <v>33</v>
      </c>
      <c r="D36" s="17">
        <v>0</v>
      </c>
      <c r="E36" s="80">
        <v>0</v>
      </c>
    </row>
    <row r="37" spans="1:5" ht="15.75" x14ac:dyDescent="0.25">
      <c r="A37" s="240" t="s">
        <v>38</v>
      </c>
      <c r="B37" s="224">
        <v>1517189101.3500001</v>
      </c>
      <c r="C37" s="225">
        <v>689</v>
      </c>
      <c r="D37" s="224">
        <v>91660436.219999999</v>
      </c>
      <c r="E37" s="225">
        <v>42</v>
      </c>
    </row>
    <row r="38" spans="1:5" x14ac:dyDescent="0.25">
      <c r="A38" s="237" t="s">
        <v>39</v>
      </c>
      <c r="B38" s="238">
        <v>3034378202.7000008</v>
      </c>
      <c r="C38" s="239">
        <v>1378</v>
      </c>
      <c r="D38" s="238">
        <v>183320872.44</v>
      </c>
      <c r="E38" s="239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INCL. y EXCL. 2DO TRIM.2021</vt:lpstr>
      <vt:lpstr>Desagregado por Valor y Red</vt:lpstr>
      <vt:lpstr>SUSTENTO</vt:lpstr>
      <vt:lpstr>'INCL. y EXCL. 2DO TRIM.2021'!Títulos_a_imprimir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Ventura Corisonco Jorge Luis</dc:creator>
  <cp:lastModifiedBy>Ventura Corisonco Jorge Luis</cp:lastModifiedBy>
  <cp:lastPrinted>2021-07-26T22:11:40Z</cp:lastPrinted>
  <dcterms:created xsi:type="dcterms:W3CDTF">2017-07-12T14:25:18Z</dcterms:created>
  <dcterms:modified xsi:type="dcterms:W3CDTF">2021-07-26T22:12:43Z</dcterms:modified>
</cp:coreProperties>
</file>